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2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  <sheet name="Sheet2" sheetId="9" r:id="rId9"/>
  </sheet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<sst xmlns="http://schemas.openxmlformats.org/spreadsheetml/2006/main" count="432" uniqueCount="157">
  <si>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</si>
  <si>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</si>
  <si>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</si>
  <si>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</si>
  <si>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</si>
  <si>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</si>
  <si>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</si>
  <si>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</si>
  <si>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</si>
  <si>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</si>
  <si>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</si>
  <si>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</si>
  <si>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</si>
  <si>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</si>
  <si>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</si>
  <si>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</si>
  <si>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</si>
  <si>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</si>
  <si>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</si>
  <si>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</si>
  <si>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</si>
  <si>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</si>
  <si>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</si>
  <si>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</si>
  <si>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</si>
  <si>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</si>
  <si>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</si>
  <si>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</si>
  <si>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</si>
  <si>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</si>
  <si>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</si>
  <si>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</si>
  <si>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</si>
  <si>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</si>
  <si>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</si>
  <si>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</si>
  <si>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</si>
  <si>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</si>
  <si>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</si>
  <si>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</si>
  <si>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</si>
  <si>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</si>
  <si>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</si>
  <si>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</si>
  <si>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</si>
  <si>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</si>
  <si>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</si>
  <si>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</si>
  <si>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</si>
  <si>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</si>
  <si>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</si>
  <si>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</si>
  <si>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</si>
  <si>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</si>
  <si>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</si>
  <si>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</si>
  <si>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</si>
  <si>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</si>
  <si>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</si>
  <si>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</si>
  <si>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</si>
  <si>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</si>
  <si>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</si>
  <si>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</si>
  <si>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</si>
  <si>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</si>
  <si>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</si>
  <si>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</si>
  <si>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</si>
  <si>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</si>
  <si>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</si>
  <si>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</si>
  <si>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</si>
  <si>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</si>
  <si>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</si>
  <si>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</si>
  <si>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</si>
  <si>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</si>
  <si>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</si>
  <si>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</si>
  <si>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</si>
  <si>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</si>
  <si>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</si>
  <si>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</si>
  <si>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</si>
  <si>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</si>
  <si>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</si>
  <si>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</si>
  <si>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</si>
  <si>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</si>
  <si>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</si>
  <si>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</si>
  <si>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</si>
  <si>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</si>
  <si>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</si>
  <si>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</si>
  <si>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</si>
  <si>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</si>
  <si>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</si>
  <si>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</si>
  <si>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</si>
  <si>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</si>
  <si>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</si>
  <si>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</si>
  <si>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</si>
  <si>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</si>
  <si>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</si>
  <si>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</si>
  <si>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</si>
  <si>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</si>
  <si>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</si>
  <si>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</si>
  <si>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</si>
  <si>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</si>
  <si>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</si>
  <si>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</si>
  <si>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</si>
  <si>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</si>
  <si>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</si>
  <si>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</si>
  <si>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</si>
  <si>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</si>
  <si>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</si>
  <si>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</si>
  <si>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</si>
  <si>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</si>
  <si>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</si>
  <si>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</si>
  <si>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</si>
  <si>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</si>
  <si>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</si>
  <si>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</si>
  <si>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</si>
  <si>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</si>
  <si>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</si>
  <si>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</si>
  <si>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</si>
  <si>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</si>
  <si>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</si>
  <si>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</si>
  <si>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</si>
  <si>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</si>
  <si>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</si>
  <si>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</si>
  <si>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</si>
  <si>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</si>
  <si>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</si>
  <si>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</si>
  <si>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</si>
  <si>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</si>
  <si>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Employment Generation Report for the month of  Oct 2012 (for the financial year 2012-13)</t>
  </si>
  <si>
    <t>Financial Performance Under NREGA During the year 2012-13 Up to the Month of Oct ' 2012</t>
  </si>
  <si>
    <t>Transparency Report Under NREGA During the year 2012-13 Up to the Month of Oct 2012</t>
  </si>
  <si>
    <t>FORMAT FOR MONTHLY PROGRESS REPORT - V-A (Capacity Building - Personnel Report for the Month of Oct  2012)</t>
  </si>
  <si>
    <t>FORMAT FOR MONTHLY PROGRESS REPORT - V-B (Capacity Building - Training Report for the Month of Oct 2012)</t>
  </si>
  <si>
    <t xml:space="preserve"> Oct 2012</t>
  </si>
  <si>
    <t>Physical Performance Under NREGA During the year 2012-13 Up to the Month of Oct  2012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</si>
</sst>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Lucida Bright"/>
      <family val="1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Lucida Bright"/>
      <family val="1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69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8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2" fontId="13" fillId="0" borderId="0" xfId="57" applyNumberFormat="1" applyFont="1" applyFill="1" applyBorder="1" applyAlignment="1">
      <alignment horizontal="center" wrapText="1"/>
      <protection/>
    </xf>
    <xf numFmtId="0" fontId="71" fillId="0" borderId="0" xfId="57" applyFont="1" applyFill="1" applyBorder="1" applyAlignment="1">
      <alignment horizontal="center"/>
      <protection/>
    </xf>
    <xf numFmtId="0" fontId="71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Alignment="1">
      <alignment horizontal="center"/>
      <protection/>
    </xf>
    <xf numFmtId="206" fontId="6" fillId="0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 applyFill="1">
      <alignment/>
      <protection/>
    </xf>
    <xf numFmtId="208" fontId="48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0" fillId="0" borderId="10" xfId="0" applyFont="1" applyFill="1" applyBorder="1" applyAlignment="1">
      <alignment horizontal="center" vertical="center" wrapText="1"/>
    </xf>
    <xf numFmtId="208" fontId="72" fillId="0" borderId="10" xfId="57" applyNumberFormat="1" applyFont="1" applyFill="1" applyBorder="1" applyAlignment="1">
      <alignment horizontal="center"/>
      <protection/>
    </xf>
    <xf numFmtId="180" fontId="151" fillId="0" borderId="0" xfId="57" applyNumberFormat="1" applyFont="1" applyFill="1" applyBorder="1" applyAlignment="1">
      <alignment horizontal="center"/>
      <protection/>
    </xf>
    <xf numFmtId="204" fontId="151" fillId="0" borderId="10" xfId="57" applyNumberFormat="1" applyFont="1" applyFill="1" applyBorder="1" applyAlignment="1">
      <alignment horizontal="center"/>
      <protection/>
    </xf>
    <xf numFmtId="208" fontId="151" fillId="0" borderId="14" xfId="57" applyNumberFormat="1" applyFont="1" applyFill="1" applyBorder="1" applyAlignment="1">
      <alignment horizontal="center"/>
      <protection/>
    </xf>
    <xf numFmtId="208" fontId="151" fillId="0" borderId="15" xfId="57" applyNumberFormat="1" applyFont="1" applyFill="1" applyBorder="1" applyAlignment="1">
      <alignment horizontal="center"/>
      <protection/>
    </xf>
    <xf numFmtId="0" fontId="151" fillId="0" borderId="16" xfId="57" applyFont="1" applyFill="1" applyBorder="1" applyAlignment="1">
      <alignment horizontal="center"/>
      <protection/>
    </xf>
    <xf numFmtId="0" fontId="151" fillId="0" borderId="0" xfId="57" applyFont="1" applyFill="1" applyBorder="1" applyAlignment="1">
      <alignment horizontal="center"/>
      <protection/>
    </xf>
    <xf numFmtId="0" fontId="151" fillId="0" borderId="17" xfId="57" applyFont="1" applyFill="1" applyBorder="1" applyAlignment="1">
      <alignment horizontal="center"/>
      <protection/>
    </xf>
    <xf numFmtId="0" fontId="151" fillId="0" borderId="10" xfId="57" applyFont="1" applyFill="1" applyBorder="1" applyAlignment="1">
      <alignment horizontal="center"/>
      <protection/>
    </xf>
    <xf numFmtId="180" fontId="72" fillId="0" borderId="0" xfId="57" applyNumberFormat="1" applyFont="1" applyFill="1" applyBorder="1" applyAlignment="1">
      <alignment horizontal="center"/>
      <protection/>
    </xf>
    <xf numFmtId="204" fontId="72" fillId="0" borderId="10" xfId="57" applyNumberFormat="1" applyFont="1" applyFill="1" applyBorder="1" applyAlignment="1">
      <alignment horizontal="center"/>
      <protection/>
    </xf>
    <xf numFmtId="208" fontId="72" fillId="0" borderId="14" xfId="57" applyNumberFormat="1" applyFont="1" applyFill="1" applyBorder="1" applyAlignment="1">
      <alignment horizontal="center"/>
      <protection/>
    </xf>
    <xf numFmtId="208" fontId="72" fillId="0" borderId="15" xfId="57" applyNumberFormat="1" applyFont="1" applyFill="1" applyBorder="1" applyAlignment="1">
      <alignment horizontal="center"/>
      <protection/>
    </xf>
    <xf numFmtId="0" fontId="72" fillId="0" borderId="16" xfId="57" applyFont="1" applyFill="1" applyBorder="1" applyAlignment="1">
      <alignment horizontal="center"/>
      <protection/>
    </xf>
    <xf numFmtId="0" fontId="72" fillId="0" borderId="0" xfId="57" applyFont="1" applyFill="1" applyBorder="1" applyAlignment="1">
      <alignment horizontal="center"/>
      <protection/>
    </xf>
    <xf numFmtId="180" fontId="152" fillId="0" borderId="0" xfId="57" applyNumberFormat="1" applyFont="1" applyFill="1" applyBorder="1" applyAlignment="1">
      <alignment horizontal="center"/>
      <protection/>
    </xf>
    <xf numFmtId="204" fontId="152" fillId="0" borderId="10" xfId="57" applyNumberFormat="1" applyFont="1" applyFill="1" applyBorder="1" applyAlignment="1">
      <alignment horizontal="center"/>
      <protection/>
    </xf>
    <xf numFmtId="0" fontId="152" fillId="0" borderId="0" xfId="57" applyFont="1" applyFill="1" applyBorder="1" applyAlignment="1">
      <alignment horizontal="center"/>
      <protection/>
    </xf>
    <xf numFmtId="0" fontId="72" fillId="0" borderId="10" xfId="57" applyFont="1" applyFill="1" applyBorder="1" applyAlignment="1">
      <alignment horizontal="center"/>
      <protection/>
    </xf>
    <xf numFmtId="208" fontId="152" fillId="0" borderId="15" xfId="57" applyNumberFormat="1" applyFont="1" applyFill="1" applyBorder="1" applyAlignment="1">
      <alignment horizontal="center"/>
      <protection/>
    </xf>
    <xf numFmtId="180" fontId="151" fillId="0" borderId="0" xfId="57" applyNumberFormat="1" applyFont="1" applyFill="1" applyBorder="1" applyAlignment="1">
      <alignment horizontal="center" vertical="center"/>
      <protection/>
    </xf>
    <xf numFmtId="204" fontId="151" fillId="0" borderId="10" xfId="57" applyNumberFormat="1" applyFont="1" applyFill="1" applyBorder="1" applyAlignment="1">
      <alignment horizontal="center" vertical="center"/>
      <protection/>
    </xf>
    <xf numFmtId="208" fontId="151" fillId="0" borderId="18" xfId="57" applyNumberFormat="1" applyFont="1" applyFill="1" applyBorder="1" applyAlignment="1">
      <alignment horizontal="center"/>
      <protection/>
    </xf>
    <xf numFmtId="0" fontId="151" fillId="0" borderId="0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/>
      <protection/>
    </xf>
    <xf numFmtId="0" fontId="153" fillId="0" borderId="10" xfId="0" applyFont="1" applyFill="1" applyBorder="1" applyAlignment="1">
      <alignment horizontal="center" vertical="center" wrapText="1"/>
    </xf>
    <xf numFmtId="180" fontId="154" fillId="0" borderId="0" xfId="57" applyNumberFormat="1" applyFont="1" applyFill="1" applyBorder="1" applyAlignment="1">
      <alignment horizontal="center"/>
      <protection/>
    </xf>
    <xf numFmtId="204" fontId="154" fillId="0" borderId="10" xfId="57" applyNumberFormat="1" applyFont="1" applyFill="1" applyBorder="1" applyAlignment="1">
      <alignment horizontal="center"/>
      <protection/>
    </xf>
    <xf numFmtId="208" fontId="155" fillId="0" borderId="15" xfId="57" applyNumberFormat="1" applyFont="1" applyFill="1" applyBorder="1" applyAlignment="1">
      <alignment horizontal="center"/>
      <protection/>
    </xf>
    <xf numFmtId="0" fontId="154" fillId="0" borderId="0" xfId="57" applyFont="1" applyFill="1" applyBorder="1" applyAlignment="1">
      <alignment horizontal="center"/>
      <protection/>
    </xf>
    <xf numFmtId="208" fontId="152" fillId="0" borderId="0" xfId="57" applyNumberFormat="1" applyFont="1" applyFill="1" applyBorder="1" applyAlignment="1">
      <alignment horizontal="center"/>
      <protection/>
    </xf>
    <xf numFmtId="0" fontId="152" fillId="0" borderId="10" xfId="57" applyFont="1" applyFill="1" applyBorder="1" applyAlignment="1">
      <alignment horizontal="center"/>
      <protection/>
    </xf>
    <xf numFmtId="0" fontId="154" fillId="0" borderId="10" xfId="57" applyFont="1" applyFill="1" applyBorder="1" applyAlignment="1">
      <alignment horizontal="center"/>
      <protection/>
    </xf>
    <xf numFmtId="0" fontId="57" fillId="0" borderId="0" xfId="57" applyFont="1" applyFill="1" applyBorder="1" applyAlignment="1">
      <alignment vertical="center" wrapText="1"/>
      <protection/>
    </xf>
    <xf numFmtId="206" fontId="156" fillId="0" borderId="0" xfId="57" applyNumberFormat="1" applyFont="1" applyFill="1" applyAlignment="1">
      <alignment horizontal="center"/>
      <protection/>
    </xf>
    <xf numFmtId="0" fontId="156" fillId="0" borderId="0" xfId="57" applyFont="1" applyFill="1" applyAlignment="1">
      <alignment horizontal="center"/>
      <protection/>
    </xf>
    <xf numFmtId="180" fontId="152" fillId="0" borderId="0" xfId="57" applyNumberFormat="1" applyFont="1" applyFill="1" applyAlignment="1">
      <alignment horizontal="center"/>
      <protection/>
    </xf>
    <xf numFmtId="0" fontId="156" fillId="0" borderId="0" xfId="57" applyFont="1" applyFill="1">
      <alignment/>
      <protection/>
    </xf>
    <xf numFmtId="0" fontId="156" fillId="0" borderId="0" xfId="57" applyFont="1" applyFill="1" applyBorder="1">
      <alignment/>
      <protection/>
    </xf>
    <xf numFmtId="206" fontId="63" fillId="0" borderId="0" xfId="57" applyNumberFormat="1" applyFont="1" applyFill="1" applyAlignment="1">
      <alignment horizontal="center"/>
      <protection/>
    </xf>
    <xf numFmtId="180" fontId="100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206" fontId="11" fillId="0" borderId="0" xfId="57" applyNumberFormat="1" applyFont="1" applyFill="1">
      <alignment/>
      <protection/>
    </xf>
    <xf numFmtId="208" fontId="11" fillId="0" borderId="0" xfId="57" applyNumberFormat="1" applyFont="1" applyFill="1">
      <alignment/>
      <protection/>
    </xf>
    <xf numFmtId="180" fontId="63" fillId="0" borderId="0" xfId="57" applyNumberFormat="1" applyFont="1" applyFill="1" applyAlignment="1">
      <alignment horizontal="center"/>
      <protection/>
    </xf>
    <xf numFmtId="0" fontId="13" fillId="0" borderId="0" xfId="57" applyFont="1" applyFill="1" applyAlignment="1">
      <alignment horizontal="center" wrapText="1"/>
      <protection/>
    </xf>
    <xf numFmtId="0" fontId="6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208" fontId="11" fillId="0" borderId="0" xfId="57" applyNumberFormat="1" applyFont="1" applyFill="1" applyBorder="1">
      <alignment/>
      <protection/>
    </xf>
    <xf numFmtId="206" fontId="11" fillId="0" borderId="0" xfId="57" applyNumberFormat="1" applyFont="1" applyFill="1" applyBorder="1">
      <alignment/>
      <protection/>
    </xf>
    <xf numFmtId="182" fontId="13" fillId="0" borderId="0" xfId="57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0" xfId="57" applyFont="1" applyFill="1" applyAlignment="1">
      <alignment horizontal="center"/>
      <protection/>
    </xf>
    <xf numFmtId="0" fontId="10" fillId="0" borderId="0" xfId="57" applyFont="1" applyFill="1" applyBorder="1" applyAlignment="1">
      <alignment horizontal="left" vertical="center"/>
      <protection/>
    </xf>
    <xf numFmtId="2" fontId="63" fillId="0" borderId="0" xfId="57" applyNumberFormat="1" applyFont="1" applyFill="1" applyBorder="1" applyAlignment="1">
      <alignment horizontal="center"/>
      <protection/>
    </xf>
    <xf numFmtId="183" fontId="71" fillId="0" borderId="0" xfId="57" applyNumberFormat="1" applyFont="1" applyFill="1" applyAlignment="1">
      <alignment horizontal="center"/>
      <protection/>
    </xf>
    <xf numFmtId="9" fontId="63" fillId="0" borderId="0" xfId="66" applyFont="1" applyFill="1" applyAlignment="1">
      <alignment horizontal="center"/>
    </xf>
    <xf numFmtId="0" fontId="10" fillId="0" borderId="0" xfId="57" applyFont="1" applyFill="1" applyBorder="1" applyAlignment="1">
      <alignment horizontal="center" wrapText="1"/>
      <protection/>
    </xf>
    <xf numFmtId="2" fontId="70" fillId="0" borderId="0" xfId="57" applyNumberFormat="1" applyFont="1" applyFill="1" applyBorder="1" applyAlignment="1">
      <alignment horizontal="center"/>
      <protection/>
    </xf>
    <xf numFmtId="2" fontId="71" fillId="0" borderId="0" xfId="57" applyNumberFormat="1" applyFont="1" applyFill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99" fillId="0" borderId="0" xfId="0" applyFont="1" applyFill="1" applyAlignment="1">
      <alignment horizontal="center"/>
    </xf>
    <xf numFmtId="49" fontId="79" fillId="0" borderId="13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08" fontId="42" fillId="0" borderId="15" xfId="0" applyNumberFormat="1" applyFont="1" applyFill="1" applyBorder="1" applyAlignment="1">
      <alignment horizontal="center" vertical="center"/>
    </xf>
    <xf numFmtId="208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 wrapText="1"/>
    </xf>
    <xf numFmtId="208" fontId="103" fillId="0" borderId="10" xfId="0" applyNumberFormat="1" applyFont="1" applyFill="1" applyBorder="1" applyAlignment="1">
      <alignment horizontal="center" wrapText="1"/>
    </xf>
    <xf numFmtId="208" fontId="101" fillId="0" borderId="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208" fontId="104" fillId="0" borderId="10" xfId="0" applyNumberFormat="1" applyFont="1" applyFill="1" applyBorder="1" applyAlignment="1">
      <alignment horizontal="center" vertical="center"/>
    </xf>
    <xf numFmtId="208" fontId="10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5" fillId="0" borderId="10" xfId="59" applyFont="1" applyFill="1" applyBorder="1" applyAlignment="1">
      <alignment horizontal="center" vertical="center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0" fontId="150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0" fontId="150" fillId="0" borderId="15" xfId="0" applyFont="1" applyFill="1" applyBorder="1" applyAlignment="1">
      <alignment horizontal="center" vertical="center" wrapText="1"/>
    </xf>
    <xf numFmtId="208" fontId="150" fillId="0" borderId="10" xfId="0" applyNumberFormat="1" applyFont="1" applyFill="1" applyBorder="1" applyAlignment="1">
      <alignment horizontal="center" vertical="center" wrapText="1"/>
    </xf>
    <xf numFmtId="208" fontId="151" fillId="0" borderId="0" xfId="57" applyNumberFormat="1" applyFont="1" applyFill="1" applyBorder="1" applyAlignment="1">
      <alignment horizontal="center"/>
      <protection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 applyBorder="1" applyAlignment="1">
      <alignment horizontal="center" vertical="center"/>
    </xf>
    <xf numFmtId="0" fontId="110" fillId="0" borderId="0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 wrapText="1"/>
    </xf>
    <xf numFmtId="206" fontId="72" fillId="0" borderId="10" xfId="57" applyNumberFormat="1" applyFont="1" applyFill="1" applyBorder="1" applyAlignment="1">
      <alignment horizontal="center"/>
      <protection/>
    </xf>
    <xf numFmtId="208" fontId="72" fillId="0" borderId="10" xfId="57" applyNumberFormat="1" applyFont="1" applyFill="1" applyBorder="1" applyAlignment="1">
      <alignment horizontal="center" vertical="center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/>
      <protection/>
    </xf>
    <xf numFmtId="208" fontId="84" fillId="0" borderId="15" xfId="0" applyNumberFormat="1" applyFont="1" applyFill="1" applyBorder="1" applyAlignment="1">
      <alignment horizontal="center" vertical="center" wrapText="1"/>
    </xf>
    <xf numFmtId="208" fontId="151" fillId="0" borderId="10" xfId="57" applyNumberFormat="1" applyFont="1" applyFill="1" applyBorder="1" applyAlignment="1">
      <alignment horizontal="center"/>
      <protection/>
    </xf>
    <xf numFmtId="208" fontId="4" fillId="0" borderId="0" xfId="63" applyNumberFormat="1" applyFont="1" applyBorder="1" applyAlignment="1">
      <alignment vertical="center"/>
      <protection/>
    </xf>
    <xf numFmtId="0" fontId="10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208" fontId="103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208" fontId="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/>
    </xf>
    <xf numFmtId="208" fontId="15" fillId="0" borderId="10" xfId="57" applyNumberFormat="1" applyFont="1" applyFill="1" applyBorder="1" applyAlignment="1">
      <alignment horizontal="center"/>
      <protection/>
    </xf>
    <xf numFmtId="0" fontId="42" fillId="0" borderId="0" xfId="0" applyFont="1" applyFill="1" applyAlignment="1">
      <alignment horizontal="center"/>
    </xf>
    <xf numFmtId="208" fontId="103" fillId="0" borderId="0" xfId="0" applyNumberFormat="1" applyFont="1" applyFill="1" applyAlignment="1">
      <alignment horizontal="center"/>
    </xf>
    <xf numFmtId="208" fontId="156" fillId="0" borderId="0" xfId="57" applyNumberFormat="1" applyFont="1" applyFill="1" applyAlignment="1">
      <alignment horizont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72" fillId="0" borderId="0" xfId="57" applyFont="1" applyFill="1" applyBorder="1" applyAlignment="1">
      <alignment horizontal="left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5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5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17" fontId="89" fillId="0" borderId="19" xfId="0" applyNumberFormat="1" applyFont="1" applyFill="1" applyBorder="1" applyAlignment="1" quotePrefix="1">
      <alignment horizontal="center"/>
    </xf>
    <xf numFmtId="0" fontId="89" fillId="0" borderId="19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40" zoomScaleSheetLayoutView="40" zoomScalePageLayoutView="0" workbookViewId="0" topLeftCell="A11">
      <pane xSplit="2" topLeftCell="C1" activePane="topRight" state="frozen"/>
      <selection pane="topLeft" activeCell="A1" sqref="A1"/>
      <selection pane="topRight" activeCell="Z27" sqref="Z27"/>
    </sheetView>
  </sheetViews>
  <sheetFormatPr defaultColWidth="9.140625" defaultRowHeight="15"/>
  <cols>
    <col min="1" max="1" width="6.28125" style="275" customWidth="1"/>
    <col min="2" max="2" width="26.28125" style="275" bestFit="1" customWidth="1"/>
    <col min="3" max="3" width="20.00390625" style="275" customWidth="1"/>
    <col min="4" max="7" width="17.28125" style="275" customWidth="1"/>
    <col min="8" max="8" width="16.28125" style="275" customWidth="1"/>
    <col min="9" max="9" width="18.421875" style="275" customWidth="1"/>
    <col min="10" max="10" width="18.140625" style="275" customWidth="1"/>
    <col min="11" max="11" width="16.140625" style="275" customWidth="1"/>
    <col min="12" max="12" width="18.57421875" style="275" customWidth="1"/>
    <col min="13" max="16" width="15.7109375" style="275" customWidth="1"/>
    <col min="17" max="17" width="20.7109375" style="275" customWidth="1"/>
    <col min="18" max="18" width="15.7109375" style="275" customWidth="1"/>
    <col min="19" max="21" width="12.7109375" style="275" customWidth="1"/>
    <col min="22" max="22" width="17.57421875" style="275" customWidth="1"/>
    <col min="23" max="23" width="23.57421875" style="275" customWidth="1"/>
    <col min="24" max="24" width="16.28125" style="254" customWidth="1"/>
    <col min="25" max="25" width="27.421875" style="254" customWidth="1"/>
    <col min="26" max="26" width="30.8515625" style="254" bestFit="1" customWidth="1"/>
    <col min="27" max="16384" width="9.140625" style="254" customWidth="1"/>
  </cols>
  <sheetData>
    <row r="1" spans="1:23" s="114" customFormat="1" ht="12" customHeight="1">
      <c r="A1" s="247"/>
      <c r="B1" s="113"/>
      <c r="C1" s="113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331"/>
      <c r="Q1" s="331"/>
      <c r="R1" s="331"/>
      <c r="S1" s="331"/>
      <c r="T1" s="247"/>
      <c r="U1" s="113"/>
      <c r="V1" s="113"/>
      <c r="W1" s="113"/>
    </row>
    <row r="2" spans="1:23" s="114" customFormat="1" ht="31.5" customHeight="1">
      <c r="A2" s="332" t="s">
        <v>123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248"/>
      <c r="W2" s="248"/>
    </row>
    <row r="3" spans="1:23" s="114" customFormat="1" ht="1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323" t="s">
        <v>145</v>
      </c>
      <c r="T3" s="323"/>
      <c r="U3" s="113"/>
      <c r="V3" s="113"/>
      <c r="W3" s="113"/>
    </row>
    <row r="4" spans="1:23" s="114" customFormat="1" ht="24.75" customHeight="1">
      <c r="A4" s="333" t="s">
        <v>36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250"/>
      <c r="W4" s="250"/>
    </row>
    <row r="5" spans="1:23" s="114" customFormat="1" ht="13.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2"/>
      <c r="T5" s="113"/>
      <c r="U5" s="113"/>
      <c r="V5" s="113"/>
      <c r="W5" s="113"/>
    </row>
    <row r="6" spans="1:23" ht="30.75" customHeight="1">
      <c r="A6" s="334" t="s">
        <v>150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253"/>
      <c r="W6" s="253"/>
    </row>
    <row r="7" spans="1:23" s="261" customFormat="1" ht="35.25" customHeight="1">
      <c r="A7" s="255"/>
      <c r="B7" s="256"/>
      <c r="C7" s="257"/>
      <c r="D7" s="257"/>
      <c r="E7" s="257"/>
      <c r="F7" s="257"/>
      <c r="G7" s="257"/>
      <c r="H7" s="258"/>
      <c r="I7" s="257"/>
      <c r="J7" s="257"/>
      <c r="K7" s="257"/>
      <c r="L7" s="259"/>
      <c r="M7" s="259"/>
      <c r="N7" s="259"/>
      <c r="O7" s="257"/>
      <c r="P7" s="259"/>
      <c r="Q7" s="257"/>
      <c r="R7" s="257"/>
      <c r="S7" s="257"/>
      <c r="T7" s="260"/>
      <c r="U7" s="256"/>
      <c r="W7" s="262"/>
    </row>
    <row r="8" spans="1:21" s="264" customFormat="1" ht="20.25">
      <c r="A8" s="326">
        <v>1</v>
      </c>
      <c r="B8" s="326">
        <v>2</v>
      </c>
      <c r="C8" s="263"/>
      <c r="D8" s="326">
        <v>3</v>
      </c>
      <c r="E8" s="326"/>
      <c r="F8" s="326"/>
      <c r="G8" s="326"/>
      <c r="H8" s="326">
        <v>4</v>
      </c>
      <c r="I8" s="326">
        <v>5</v>
      </c>
      <c r="J8" s="326">
        <v>6</v>
      </c>
      <c r="K8" s="326">
        <v>7</v>
      </c>
      <c r="L8" s="326">
        <v>8</v>
      </c>
      <c r="M8" s="326">
        <v>9</v>
      </c>
      <c r="N8" s="326"/>
      <c r="O8" s="326"/>
      <c r="P8" s="326"/>
      <c r="Q8" s="326"/>
      <c r="R8" s="263"/>
      <c r="S8" s="326">
        <v>10</v>
      </c>
      <c r="T8" s="326">
        <v>11</v>
      </c>
      <c r="U8" s="326">
        <v>12</v>
      </c>
    </row>
    <row r="9" spans="1:21" s="264" customFormat="1" ht="20.25">
      <c r="A9" s="326"/>
      <c r="B9" s="326"/>
      <c r="C9" s="263"/>
      <c r="D9" s="263" t="s">
        <v>16</v>
      </c>
      <c r="E9" s="263" t="s">
        <v>17</v>
      </c>
      <c r="F9" s="263" t="s">
        <v>18</v>
      </c>
      <c r="G9" s="263" t="s">
        <v>19</v>
      </c>
      <c r="H9" s="326"/>
      <c r="I9" s="326">
        <v>5</v>
      </c>
      <c r="J9" s="326">
        <v>6</v>
      </c>
      <c r="K9" s="326">
        <v>7</v>
      </c>
      <c r="L9" s="326">
        <v>8</v>
      </c>
      <c r="M9" s="263" t="s">
        <v>16</v>
      </c>
      <c r="N9" s="263" t="s">
        <v>17</v>
      </c>
      <c r="O9" s="263" t="s">
        <v>18</v>
      </c>
      <c r="P9" s="263" t="s">
        <v>19</v>
      </c>
      <c r="Q9" s="263" t="s">
        <v>20</v>
      </c>
      <c r="R9" s="263"/>
      <c r="S9" s="326"/>
      <c r="T9" s="326"/>
      <c r="U9" s="326"/>
    </row>
    <row r="10" spans="1:23" s="267" customFormat="1" ht="76.5" customHeight="1">
      <c r="A10" s="326" t="s">
        <v>0</v>
      </c>
      <c r="B10" s="329" t="s">
        <v>21</v>
      </c>
      <c r="C10" s="326" t="s">
        <v>134</v>
      </c>
      <c r="D10" s="338" t="s">
        <v>1</v>
      </c>
      <c r="E10" s="338"/>
      <c r="F10" s="338"/>
      <c r="G10" s="338"/>
      <c r="H10" s="326" t="s">
        <v>6</v>
      </c>
      <c r="I10" s="326" t="s">
        <v>7</v>
      </c>
      <c r="J10" s="326" t="s">
        <v>8</v>
      </c>
      <c r="K10" s="326" t="s">
        <v>9</v>
      </c>
      <c r="L10" s="326" t="s">
        <v>10</v>
      </c>
      <c r="M10" s="326" t="s">
        <v>11</v>
      </c>
      <c r="N10" s="326"/>
      <c r="O10" s="326"/>
      <c r="P10" s="326"/>
      <c r="Q10" s="326"/>
      <c r="R10" s="326"/>
      <c r="S10" s="335" t="s">
        <v>13</v>
      </c>
      <c r="T10" s="335" t="s">
        <v>14</v>
      </c>
      <c r="U10" s="335" t="s">
        <v>15</v>
      </c>
      <c r="V10" s="266"/>
      <c r="W10" s="266"/>
    </row>
    <row r="11" spans="1:23" s="267" customFormat="1" ht="207.75" customHeight="1">
      <c r="A11" s="326"/>
      <c r="B11" s="329"/>
      <c r="C11" s="326"/>
      <c r="D11" s="265" t="s">
        <v>2</v>
      </c>
      <c r="E11" s="265" t="s">
        <v>3</v>
      </c>
      <c r="F11" s="265" t="s">
        <v>4</v>
      </c>
      <c r="G11" s="265" t="s">
        <v>5</v>
      </c>
      <c r="H11" s="326"/>
      <c r="I11" s="326"/>
      <c r="J11" s="326"/>
      <c r="K11" s="326"/>
      <c r="L11" s="326"/>
      <c r="M11" s="263" t="s">
        <v>2</v>
      </c>
      <c r="N11" s="263" t="s">
        <v>3</v>
      </c>
      <c r="O11" s="263" t="s">
        <v>4</v>
      </c>
      <c r="P11" s="263" t="s">
        <v>5</v>
      </c>
      <c r="Q11" s="263" t="s">
        <v>12</v>
      </c>
      <c r="R11" s="263" t="s">
        <v>109</v>
      </c>
      <c r="S11" s="335"/>
      <c r="T11" s="335"/>
      <c r="U11" s="335"/>
      <c r="V11" s="337" t="s">
        <v>139</v>
      </c>
      <c r="W11" s="335" t="s">
        <v>124</v>
      </c>
    </row>
    <row r="12" spans="1:23" s="264" customFormat="1" ht="42" customHeight="1">
      <c r="A12" s="263">
        <v>1</v>
      </c>
      <c r="B12" s="263">
        <v>2</v>
      </c>
      <c r="C12" s="263">
        <v>3</v>
      </c>
      <c r="D12" s="263" t="s">
        <v>111</v>
      </c>
      <c r="E12" s="263" t="s">
        <v>112</v>
      </c>
      <c r="F12" s="263" t="s">
        <v>113</v>
      </c>
      <c r="G12" s="263" t="s">
        <v>114</v>
      </c>
      <c r="H12" s="263">
        <v>4</v>
      </c>
      <c r="I12" s="263">
        <v>5</v>
      </c>
      <c r="J12" s="263">
        <v>6</v>
      </c>
      <c r="K12" s="263">
        <v>7</v>
      </c>
      <c r="L12" s="263">
        <v>8</v>
      </c>
      <c r="M12" s="263" t="s">
        <v>115</v>
      </c>
      <c r="N12" s="263" t="s">
        <v>116</v>
      </c>
      <c r="O12" s="263" t="s">
        <v>117</v>
      </c>
      <c r="P12" s="263" t="s">
        <v>118</v>
      </c>
      <c r="Q12" s="263" t="s">
        <v>119</v>
      </c>
      <c r="R12" s="263" t="s">
        <v>110</v>
      </c>
      <c r="S12" s="263">
        <v>10</v>
      </c>
      <c r="T12" s="263">
        <v>11</v>
      </c>
      <c r="U12" s="263">
        <v>12</v>
      </c>
      <c r="V12" s="337"/>
      <c r="W12" s="336"/>
    </row>
    <row r="13" spans="1:26" s="271" customFormat="1" ht="47.25" customHeight="1">
      <c r="A13" s="99">
        <v>1</v>
      </c>
      <c r="B13" s="99" t="s">
        <v>22</v>
      </c>
      <c r="C13" s="99">
        <v>40448</v>
      </c>
      <c r="D13" s="99">
        <v>21046</v>
      </c>
      <c r="E13" s="99">
        <v>8586</v>
      </c>
      <c r="F13" s="99">
        <v>10816</v>
      </c>
      <c r="G13" s="99">
        <f>SUM(D13:F13)</f>
        <v>40448</v>
      </c>
      <c r="H13" s="99">
        <v>6995</v>
      </c>
      <c r="I13" s="99">
        <v>7280</v>
      </c>
      <c r="J13" s="268">
        <v>6995</v>
      </c>
      <c r="K13" s="268">
        <v>1358</v>
      </c>
      <c r="L13" s="99">
        <v>196924</v>
      </c>
      <c r="M13" s="100">
        <v>1.3025719000000002</v>
      </c>
      <c r="N13" s="100">
        <v>0.6613133</v>
      </c>
      <c r="O13" s="100">
        <v>0.4382848</v>
      </c>
      <c r="P13" s="100">
        <v>2.40417</v>
      </c>
      <c r="Q13" s="100">
        <v>1.1254761000000002</v>
      </c>
      <c r="R13" s="100">
        <v>0.0316848</v>
      </c>
      <c r="S13" s="99">
        <v>0</v>
      </c>
      <c r="T13" s="99">
        <v>627</v>
      </c>
      <c r="U13" s="99">
        <v>11</v>
      </c>
      <c r="V13" s="100">
        <f>(Q13/P13)*100</f>
        <v>46.813499045408605</v>
      </c>
      <c r="W13" s="269">
        <f>(P13*100000)/J13</f>
        <v>34.3698355968549</v>
      </c>
      <c r="X13" s="270">
        <f>V13</f>
        <v>46.813499045408605</v>
      </c>
      <c r="Y13" s="270">
        <f>M13*100/P13</f>
        <v>54.17969195190025</v>
      </c>
      <c r="Z13" s="270"/>
    </row>
    <row r="14" spans="1:26" s="271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15253</v>
      </c>
      <c r="I14" s="99">
        <v>8180</v>
      </c>
      <c r="J14" s="99">
        <v>15253</v>
      </c>
      <c r="K14" s="99">
        <v>1743</v>
      </c>
      <c r="L14" s="99">
        <v>228535</v>
      </c>
      <c r="M14" s="100">
        <v>1.67052</v>
      </c>
      <c r="N14" s="100">
        <v>0.72425</v>
      </c>
      <c r="O14" s="100">
        <v>1.1965299999999999</v>
      </c>
      <c r="P14" s="100">
        <v>3.5913</v>
      </c>
      <c r="Q14" s="100">
        <v>1.11195</v>
      </c>
      <c r="R14" s="100">
        <v>1.7105744000000003</v>
      </c>
      <c r="S14" s="99">
        <v>23</v>
      </c>
      <c r="T14" s="99">
        <v>569</v>
      </c>
      <c r="U14" s="99">
        <v>100</v>
      </c>
      <c r="V14" s="100">
        <f aca="true" t="shared" si="0" ref="V14:V26">(Q14/P14)*100</f>
        <v>30.962325620248937</v>
      </c>
      <c r="W14" s="269">
        <f aca="true" t="shared" si="1" ref="W14:W26">(P14*100000)/J14</f>
        <v>23.544876417753883</v>
      </c>
      <c r="X14" s="270">
        <f aca="true" t="shared" si="2" ref="X14:X26">V14</f>
        <v>30.962325620248937</v>
      </c>
      <c r="Y14" s="270">
        <f aca="true" t="shared" si="3" ref="Y14:Y26">M14*100/P14</f>
        <v>46.51574638710216</v>
      </c>
      <c r="Z14" s="270"/>
    </row>
    <row r="15" spans="1:26" s="271" customFormat="1" ht="47.25" customHeight="1">
      <c r="A15" s="99">
        <v>3</v>
      </c>
      <c r="B15" s="99" t="s">
        <v>24</v>
      </c>
      <c r="C15" s="99">
        <v>78560</v>
      </c>
      <c r="D15" s="99">
        <v>39105</v>
      </c>
      <c r="E15" s="99">
        <v>16764</v>
      </c>
      <c r="F15" s="99">
        <v>22691</v>
      </c>
      <c r="G15" s="99">
        <v>78560</v>
      </c>
      <c r="H15" s="99">
        <v>35743</v>
      </c>
      <c r="I15" s="99">
        <v>18963</v>
      </c>
      <c r="J15" s="99">
        <v>33235</v>
      </c>
      <c r="K15" s="268">
        <v>31877</v>
      </c>
      <c r="L15" s="99">
        <v>662187</v>
      </c>
      <c r="M15" s="100">
        <v>3.48555</v>
      </c>
      <c r="N15" s="100">
        <v>1.31974</v>
      </c>
      <c r="O15" s="100">
        <v>1.70903</v>
      </c>
      <c r="P15" s="100">
        <v>6.51432</v>
      </c>
      <c r="Q15" s="272">
        <v>2.53548</v>
      </c>
      <c r="R15" s="272">
        <v>0.10649</v>
      </c>
      <c r="S15" s="99">
        <v>0</v>
      </c>
      <c r="T15" s="99">
        <v>75</v>
      </c>
      <c r="U15" s="99">
        <v>10</v>
      </c>
      <c r="V15" s="100">
        <f t="shared" si="0"/>
        <v>38.92163725454077</v>
      </c>
      <c r="W15" s="269">
        <f t="shared" si="1"/>
        <v>19.600782307808032</v>
      </c>
      <c r="X15" s="270">
        <f t="shared" si="2"/>
        <v>38.92163725454077</v>
      </c>
      <c r="Y15" s="270">
        <f t="shared" si="3"/>
        <v>53.50596838964006</v>
      </c>
      <c r="Z15" s="270"/>
    </row>
    <row r="16" spans="1:26" s="273" customFormat="1" ht="47.25" customHeight="1">
      <c r="A16" s="99">
        <v>4</v>
      </c>
      <c r="B16" s="99" t="s">
        <v>25</v>
      </c>
      <c r="C16" s="99">
        <v>54234</v>
      </c>
      <c r="D16" s="99">
        <v>24544</v>
      </c>
      <c r="E16" s="99">
        <v>10257</v>
      </c>
      <c r="F16" s="99">
        <v>19433</v>
      </c>
      <c r="G16" s="99">
        <v>54234</v>
      </c>
      <c r="H16" s="99">
        <v>12051</v>
      </c>
      <c r="I16" s="99">
        <v>16023</v>
      </c>
      <c r="J16" s="99">
        <v>12031</v>
      </c>
      <c r="K16" s="99">
        <v>3260</v>
      </c>
      <c r="L16" s="99">
        <v>424617</v>
      </c>
      <c r="M16" s="286">
        <v>0.79008</v>
      </c>
      <c r="N16" s="286">
        <v>0.7054400000000001</v>
      </c>
      <c r="O16" s="286">
        <v>0.7029099999999999</v>
      </c>
      <c r="P16" s="100">
        <v>2.19843</v>
      </c>
      <c r="Q16" s="272">
        <v>1.13542</v>
      </c>
      <c r="R16" s="272">
        <v>0.21039</v>
      </c>
      <c r="S16" s="99">
        <v>0</v>
      </c>
      <c r="T16" s="99">
        <v>339</v>
      </c>
      <c r="U16" s="268">
        <v>4</v>
      </c>
      <c r="V16" s="100">
        <f t="shared" si="0"/>
        <v>51.64685707527645</v>
      </c>
      <c r="W16" s="269">
        <f t="shared" si="1"/>
        <v>18.273044634693708</v>
      </c>
      <c r="X16" s="270">
        <f t="shared" si="2"/>
        <v>51.64685707527645</v>
      </c>
      <c r="Y16" s="270">
        <f t="shared" si="3"/>
        <v>35.93837420340879</v>
      </c>
      <c r="Z16" s="270"/>
    </row>
    <row r="17" spans="1:26" s="271" customFormat="1" ht="47.25" customHeight="1">
      <c r="A17" s="99">
        <v>5</v>
      </c>
      <c r="B17" s="99" t="s">
        <v>26</v>
      </c>
      <c r="C17" s="99">
        <v>61228</v>
      </c>
      <c r="D17" s="99">
        <v>8919</v>
      </c>
      <c r="E17" s="99">
        <v>31806</v>
      </c>
      <c r="F17" s="99">
        <v>19633</v>
      </c>
      <c r="G17" s="99">
        <v>60358</v>
      </c>
      <c r="H17" s="99">
        <v>23783</v>
      </c>
      <c r="I17" s="99">
        <v>14345</v>
      </c>
      <c r="J17" s="99">
        <v>23783</v>
      </c>
      <c r="K17" s="99">
        <v>4383</v>
      </c>
      <c r="L17" s="99">
        <v>388074</v>
      </c>
      <c r="M17" s="107">
        <v>0.7138700000000001</v>
      </c>
      <c r="N17" s="107">
        <v>2.3705900000000004</v>
      </c>
      <c r="O17" s="107">
        <v>1.59272</v>
      </c>
      <c r="P17" s="100">
        <v>4.67718</v>
      </c>
      <c r="Q17" s="272">
        <v>2.0410899999999996</v>
      </c>
      <c r="R17" s="272">
        <v>0.14946</v>
      </c>
      <c r="S17" s="268">
        <v>115</v>
      </c>
      <c r="T17" s="268">
        <v>1174</v>
      </c>
      <c r="U17" s="268">
        <v>5</v>
      </c>
      <c r="V17" s="100">
        <f t="shared" si="0"/>
        <v>43.63932968156025</v>
      </c>
      <c r="W17" s="269">
        <f t="shared" si="1"/>
        <v>19.666063995290752</v>
      </c>
      <c r="X17" s="270">
        <f t="shared" si="2"/>
        <v>43.63932968156025</v>
      </c>
      <c r="Y17" s="270">
        <f t="shared" si="3"/>
        <v>15.262829311679264</v>
      </c>
      <c r="Z17" s="270"/>
    </row>
    <row r="18" spans="1:26" s="271" customFormat="1" ht="47.25" customHeight="1">
      <c r="A18" s="99">
        <v>6</v>
      </c>
      <c r="B18" s="99" t="s">
        <v>27</v>
      </c>
      <c r="C18" s="268">
        <v>41032</v>
      </c>
      <c r="D18" s="268">
        <v>16884</v>
      </c>
      <c r="E18" s="268">
        <v>13840</v>
      </c>
      <c r="F18" s="268">
        <v>10261</v>
      </c>
      <c r="G18" s="99">
        <f>SUM(D18:F18)</f>
        <v>40985</v>
      </c>
      <c r="H18" s="268">
        <v>24858</v>
      </c>
      <c r="I18" s="99">
        <v>23642</v>
      </c>
      <c r="J18" s="268">
        <v>23457</v>
      </c>
      <c r="K18" s="268">
        <v>6695</v>
      </c>
      <c r="L18" s="99">
        <v>639503</v>
      </c>
      <c r="M18" s="286">
        <v>2.0124000000000004</v>
      </c>
      <c r="N18" s="286">
        <v>0.9904100000000001</v>
      </c>
      <c r="O18" s="286">
        <v>6.955150000000001</v>
      </c>
      <c r="P18" s="100">
        <v>9.957960000000002</v>
      </c>
      <c r="Q18" s="272">
        <v>1.60615</v>
      </c>
      <c r="R18" s="100">
        <v>0.25</v>
      </c>
      <c r="S18" s="99">
        <v>0</v>
      </c>
      <c r="T18" s="99">
        <v>335</v>
      </c>
      <c r="U18" s="99">
        <v>44</v>
      </c>
      <c r="V18" s="100">
        <f t="shared" si="0"/>
        <v>16.129307609189027</v>
      </c>
      <c r="W18" s="269">
        <f t="shared" si="1"/>
        <v>42.45197595600461</v>
      </c>
      <c r="X18" s="270">
        <f t="shared" si="2"/>
        <v>16.129307609189027</v>
      </c>
      <c r="Y18" s="270">
        <f t="shared" si="3"/>
        <v>20.208958461371605</v>
      </c>
      <c r="Z18" s="270"/>
    </row>
    <row r="19" spans="1:26" s="271" customFormat="1" ht="47.25" customHeight="1">
      <c r="A19" s="99">
        <v>7</v>
      </c>
      <c r="B19" s="99" t="s">
        <v>125</v>
      </c>
      <c r="C19" s="99">
        <v>39710</v>
      </c>
      <c r="D19" s="99">
        <v>6947</v>
      </c>
      <c r="E19" s="99">
        <v>16704</v>
      </c>
      <c r="F19" s="99">
        <v>16059</v>
      </c>
      <c r="G19" s="99">
        <v>39710</v>
      </c>
      <c r="H19" s="99">
        <v>13991</v>
      </c>
      <c r="I19" s="99">
        <v>15697</v>
      </c>
      <c r="J19" s="99">
        <v>13991</v>
      </c>
      <c r="K19" s="99">
        <v>2851</v>
      </c>
      <c r="L19" s="99">
        <v>424588</v>
      </c>
      <c r="M19" s="107">
        <v>0.433698</v>
      </c>
      <c r="N19" s="107">
        <v>0.687198</v>
      </c>
      <c r="O19" s="107">
        <v>0.7243139999999999</v>
      </c>
      <c r="P19" s="100">
        <v>1.84521</v>
      </c>
      <c r="Q19" s="100">
        <v>1.0249704999999998</v>
      </c>
      <c r="R19" s="100">
        <v>0.29384750000000004</v>
      </c>
      <c r="S19" s="99">
        <v>0</v>
      </c>
      <c r="T19" s="99">
        <v>0</v>
      </c>
      <c r="U19" s="99">
        <v>0</v>
      </c>
      <c r="V19" s="100">
        <f t="shared" si="0"/>
        <v>55.54763414462309</v>
      </c>
      <c r="W19" s="269">
        <f t="shared" si="1"/>
        <v>13.188549782002717</v>
      </c>
      <c r="X19" s="270">
        <f t="shared" si="2"/>
        <v>55.54763414462309</v>
      </c>
      <c r="Y19" s="270">
        <f t="shared" si="3"/>
        <v>23.503991415611228</v>
      </c>
      <c r="Z19" s="270"/>
    </row>
    <row r="20" spans="1:26" s="271" customFormat="1" ht="47.25" customHeight="1">
      <c r="A20" s="99">
        <v>8</v>
      </c>
      <c r="B20" s="99" t="s">
        <v>29</v>
      </c>
      <c r="C20" s="99">
        <v>58540</v>
      </c>
      <c r="D20" s="99">
        <v>18394</v>
      </c>
      <c r="E20" s="99">
        <v>20606</v>
      </c>
      <c r="F20" s="99">
        <v>19540</v>
      </c>
      <c r="G20" s="99">
        <f>SUM(D20:F20)</f>
        <v>58540</v>
      </c>
      <c r="H20" s="99">
        <v>7897</v>
      </c>
      <c r="I20" s="99">
        <v>12025</v>
      </c>
      <c r="J20" s="99">
        <v>7897</v>
      </c>
      <c r="K20" s="99">
        <v>512</v>
      </c>
      <c r="L20" s="99">
        <v>325299</v>
      </c>
      <c r="M20" s="286">
        <v>0.6106</v>
      </c>
      <c r="N20" s="107">
        <v>0.46631</v>
      </c>
      <c r="O20" s="107">
        <v>0.7551199999999999</v>
      </c>
      <c r="P20" s="100">
        <v>1.83203</v>
      </c>
      <c r="Q20" s="272">
        <v>0.63713</v>
      </c>
      <c r="R20" s="272">
        <v>0</v>
      </c>
      <c r="S20" s="268">
        <v>1</v>
      </c>
      <c r="T20" s="268">
        <v>262</v>
      </c>
      <c r="U20" s="268">
        <v>26</v>
      </c>
      <c r="V20" s="100">
        <v>62.09622058054806</v>
      </c>
      <c r="W20" s="269">
        <v>21.21039273310179</v>
      </c>
      <c r="X20" s="270">
        <f t="shared" si="2"/>
        <v>62.09622058054806</v>
      </c>
      <c r="Y20" s="270">
        <f t="shared" si="3"/>
        <v>33.329148540144</v>
      </c>
      <c r="Z20" s="270"/>
    </row>
    <row r="21" spans="1:26" s="271" customFormat="1" ht="47.25" customHeight="1">
      <c r="A21" s="99">
        <v>9</v>
      </c>
      <c r="B21" s="99" t="s">
        <v>30</v>
      </c>
      <c r="C21" s="99">
        <v>24986</v>
      </c>
      <c r="D21" s="99">
        <v>5981</v>
      </c>
      <c r="E21" s="99">
        <v>12141</v>
      </c>
      <c r="F21" s="99">
        <v>6675</v>
      </c>
      <c r="G21" s="99">
        <f>SUM(D21:F21)</f>
        <v>24797</v>
      </c>
      <c r="H21" s="99">
        <v>12353</v>
      </c>
      <c r="I21" s="99">
        <v>5692</v>
      </c>
      <c r="J21" s="99">
        <v>12353</v>
      </c>
      <c r="K21" s="99">
        <v>860</v>
      </c>
      <c r="L21" s="99">
        <v>153983</v>
      </c>
      <c r="M21" s="107">
        <v>0.6923</v>
      </c>
      <c r="N21" s="107">
        <v>1.08175</v>
      </c>
      <c r="O21" s="107">
        <v>0.55191</v>
      </c>
      <c r="P21" s="100">
        <v>2.32596</v>
      </c>
      <c r="Q21" s="100">
        <v>1.16875</v>
      </c>
      <c r="R21" s="100">
        <v>0.00654</v>
      </c>
      <c r="S21" s="99">
        <v>7</v>
      </c>
      <c r="T21" s="99">
        <v>483</v>
      </c>
      <c r="U21" s="99">
        <v>87</v>
      </c>
      <c r="V21" s="100">
        <f t="shared" si="0"/>
        <v>50.2480696142668</v>
      </c>
      <c r="W21" s="269">
        <f t="shared" si="1"/>
        <v>18.82911033756982</v>
      </c>
      <c r="X21" s="270">
        <f t="shared" si="2"/>
        <v>50.2480696142668</v>
      </c>
      <c r="Y21" s="270">
        <f t="shared" si="3"/>
        <v>29.76405441194174</v>
      </c>
      <c r="Z21" s="270"/>
    </row>
    <row r="22" spans="1:26" s="271" customFormat="1" ht="47.25" customHeight="1">
      <c r="A22" s="99">
        <v>10</v>
      </c>
      <c r="B22" s="99" t="s">
        <v>31</v>
      </c>
      <c r="C22" s="99">
        <v>68606</v>
      </c>
      <c r="D22" s="99">
        <v>48485</v>
      </c>
      <c r="E22" s="99">
        <v>1004</v>
      </c>
      <c r="F22" s="99">
        <v>18261</v>
      </c>
      <c r="G22" s="99">
        <v>67750</v>
      </c>
      <c r="H22" s="99">
        <v>9557</v>
      </c>
      <c r="I22" s="99">
        <v>15403</v>
      </c>
      <c r="J22" s="99">
        <v>21795</v>
      </c>
      <c r="K22" s="99">
        <v>9557</v>
      </c>
      <c r="L22" s="99">
        <v>1070290</v>
      </c>
      <c r="M22" s="107">
        <v>1.4063800000000002</v>
      </c>
      <c r="N22" s="107">
        <v>0.00407</v>
      </c>
      <c r="O22" s="107">
        <v>1.1076499999999998</v>
      </c>
      <c r="P22" s="100">
        <v>2.5180999999999996</v>
      </c>
      <c r="Q22" s="272">
        <v>0.7866499999999998</v>
      </c>
      <c r="R22" s="272">
        <v>0.027355400000000002</v>
      </c>
      <c r="S22" s="99">
        <v>0</v>
      </c>
      <c r="T22" s="99">
        <v>353</v>
      </c>
      <c r="U22" s="268">
        <v>0</v>
      </c>
      <c r="V22" s="100">
        <f t="shared" si="0"/>
        <v>31.23982367658155</v>
      </c>
      <c r="W22" s="269">
        <f t="shared" si="1"/>
        <v>11.553567331956868</v>
      </c>
      <c r="X22" s="270">
        <f t="shared" si="2"/>
        <v>31.23982367658155</v>
      </c>
      <c r="Y22" s="270">
        <f t="shared" si="3"/>
        <v>55.85083991898655</v>
      </c>
      <c r="Z22" s="270"/>
    </row>
    <row r="23" spans="1:26" s="271" customFormat="1" ht="47.25" customHeight="1">
      <c r="A23" s="99">
        <v>11</v>
      </c>
      <c r="B23" s="99" t="s">
        <v>32</v>
      </c>
      <c r="C23" s="99">
        <v>26423</v>
      </c>
      <c r="D23" s="99">
        <v>4066</v>
      </c>
      <c r="E23" s="99">
        <v>15342</v>
      </c>
      <c r="F23" s="99">
        <v>6959</v>
      </c>
      <c r="G23" s="99">
        <v>26367</v>
      </c>
      <c r="H23" s="99">
        <v>13408</v>
      </c>
      <c r="I23" s="99">
        <v>6235</v>
      </c>
      <c r="J23" s="99">
        <v>13408</v>
      </c>
      <c r="K23" s="99">
        <v>1028</v>
      </c>
      <c r="L23" s="99">
        <v>160671</v>
      </c>
      <c r="M23" s="107">
        <v>0.38169</v>
      </c>
      <c r="N23" s="107">
        <v>0.92982</v>
      </c>
      <c r="O23" s="107">
        <v>0.6949299999999999</v>
      </c>
      <c r="P23" s="100">
        <v>1.9760900000000001</v>
      </c>
      <c r="Q23" s="286">
        <v>0.5810200000000001</v>
      </c>
      <c r="R23" s="286">
        <v>0.25627999999999995</v>
      </c>
      <c r="S23" s="268">
        <v>1</v>
      </c>
      <c r="T23" s="268">
        <v>229</v>
      </c>
      <c r="U23" s="268">
        <v>0</v>
      </c>
      <c r="V23" s="100">
        <f t="shared" si="0"/>
        <v>29.40250697083635</v>
      </c>
      <c r="W23" s="269">
        <f t="shared" si="1"/>
        <v>14.738141408114558</v>
      </c>
      <c r="X23" s="270">
        <f t="shared" si="2"/>
        <v>29.40250697083635</v>
      </c>
      <c r="Y23" s="270">
        <f t="shared" si="3"/>
        <v>19.315415795839254</v>
      </c>
      <c r="Z23" s="270"/>
    </row>
    <row r="24" spans="1:26" s="271" customFormat="1" ht="51" customHeight="1">
      <c r="A24" s="99">
        <v>12</v>
      </c>
      <c r="B24" s="99" t="s">
        <v>33</v>
      </c>
      <c r="C24" s="99">
        <v>50966</v>
      </c>
      <c r="D24" s="99">
        <v>30252</v>
      </c>
      <c r="E24" s="99">
        <v>2773</v>
      </c>
      <c r="F24" s="99">
        <v>17885</v>
      </c>
      <c r="G24" s="99">
        <v>50910</v>
      </c>
      <c r="H24" s="268">
        <v>10826</v>
      </c>
      <c r="I24" s="99">
        <v>7499</v>
      </c>
      <c r="J24" s="268">
        <v>10826</v>
      </c>
      <c r="K24" s="268">
        <v>5915</v>
      </c>
      <c r="L24" s="99">
        <v>202819</v>
      </c>
      <c r="M24" s="286">
        <v>0.767</v>
      </c>
      <c r="N24" s="286">
        <v>0.01923</v>
      </c>
      <c r="O24" s="286">
        <v>0.68913</v>
      </c>
      <c r="P24" s="100">
        <v>1.47536</v>
      </c>
      <c r="Q24" s="272">
        <v>0.64762</v>
      </c>
      <c r="R24" s="272">
        <v>0.48607</v>
      </c>
      <c r="S24" s="99">
        <v>0</v>
      </c>
      <c r="T24" s="99">
        <v>529</v>
      </c>
      <c r="U24" s="99">
        <v>0</v>
      </c>
      <c r="V24" s="100">
        <f t="shared" si="0"/>
        <v>43.89572714456133</v>
      </c>
      <c r="W24" s="269">
        <f t="shared" si="1"/>
        <v>13.627932754479955</v>
      </c>
      <c r="X24" s="270">
        <f t="shared" si="2"/>
        <v>43.89572714456133</v>
      </c>
      <c r="Y24" s="270">
        <f t="shared" si="3"/>
        <v>51.98731157141308</v>
      </c>
      <c r="Z24" s="270"/>
    </row>
    <row r="25" spans="1:26" s="315" customFormat="1" ht="53.25" customHeight="1">
      <c r="A25" s="99">
        <v>13</v>
      </c>
      <c r="B25" s="99" t="s">
        <v>34</v>
      </c>
      <c r="C25" s="99">
        <v>58406</v>
      </c>
      <c r="D25" s="99">
        <v>34826</v>
      </c>
      <c r="E25" s="99">
        <v>3976</v>
      </c>
      <c r="F25" s="99">
        <v>19604</v>
      </c>
      <c r="G25" s="99">
        <v>58406</v>
      </c>
      <c r="H25" s="99">
        <v>16348</v>
      </c>
      <c r="I25" s="99">
        <v>7488</v>
      </c>
      <c r="J25" s="99">
        <v>16348</v>
      </c>
      <c r="K25" s="99">
        <v>6624</v>
      </c>
      <c r="L25" s="99">
        <v>202531</v>
      </c>
      <c r="M25" s="100">
        <v>1.2851299999999999</v>
      </c>
      <c r="N25" s="100">
        <v>0.12900999999999999</v>
      </c>
      <c r="O25" s="100">
        <v>0.6389999999999999</v>
      </c>
      <c r="P25" s="100">
        <v>2.05314</v>
      </c>
      <c r="Q25" s="272">
        <v>0.72053</v>
      </c>
      <c r="R25" s="272">
        <v>0.2369</v>
      </c>
      <c r="S25" s="268">
        <v>4</v>
      </c>
      <c r="T25" s="268">
        <v>312</v>
      </c>
      <c r="U25" s="268">
        <v>9</v>
      </c>
      <c r="V25" s="100">
        <f t="shared" si="0"/>
        <v>35.094051063249466</v>
      </c>
      <c r="W25" s="269">
        <f t="shared" si="1"/>
        <v>12.558967457793003</v>
      </c>
      <c r="X25" s="270">
        <f t="shared" si="2"/>
        <v>35.094051063249466</v>
      </c>
      <c r="Y25" s="270">
        <f t="shared" si="3"/>
        <v>62.59339353380675</v>
      </c>
      <c r="Z25" s="270"/>
    </row>
    <row r="26" spans="1:26" s="274" customFormat="1" ht="47.25" customHeight="1">
      <c r="A26" s="99"/>
      <c r="B26" s="99" t="s">
        <v>35</v>
      </c>
      <c r="C26" s="99">
        <f aca="true" t="shared" si="4" ref="C26:P26">SUM(C13:C25)</f>
        <v>648487</v>
      </c>
      <c r="D26" s="99">
        <f t="shared" si="4"/>
        <v>276813</v>
      </c>
      <c r="E26" s="99">
        <f t="shared" si="4"/>
        <v>159005</v>
      </c>
      <c r="F26" s="99">
        <f t="shared" si="4"/>
        <v>210595</v>
      </c>
      <c r="G26" s="99">
        <f t="shared" si="4"/>
        <v>646413</v>
      </c>
      <c r="H26" s="99">
        <f t="shared" si="4"/>
        <v>203063</v>
      </c>
      <c r="I26" s="99">
        <f t="shared" si="4"/>
        <v>158472</v>
      </c>
      <c r="J26" s="99">
        <f t="shared" si="4"/>
        <v>211372</v>
      </c>
      <c r="K26" s="99">
        <f t="shared" si="4"/>
        <v>76663</v>
      </c>
      <c r="L26" s="99">
        <f t="shared" si="4"/>
        <v>5080021</v>
      </c>
      <c r="M26" s="100">
        <f t="shared" si="4"/>
        <v>15.5517899</v>
      </c>
      <c r="N26" s="100">
        <f t="shared" si="4"/>
        <v>10.089131299999998</v>
      </c>
      <c r="O26" s="100">
        <f t="shared" si="4"/>
        <v>17.756678799999996</v>
      </c>
      <c r="P26" s="100">
        <f t="shared" si="4"/>
        <v>43.36925</v>
      </c>
      <c r="Q26" s="100">
        <f>SUM(Q13:Q25)</f>
        <v>15.1222366</v>
      </c>
      <c r="R26" s="100">
        <f>SUM(R13:R25)</f>
        <v>3.7655920999999997</v>
      </c>
      <c r="S26" s="99">
        <f>SUM(S13:S25)</f>
        <v>151</v>
      </c>
      <c r="T26" s="99">
        <f>SUM(T13:T25)</f>
        <v>5287</v>
      </c>
      <c r="U26" s="99">
        <f>SUM(U13:U25)</f>
        <v>296</v>
      </c>
      <c r="V26" s="281">
        <f t="shared" si="0"/>
        <v>34.86856839811618</v>
      </c>
      <c r="W26" s="282">
        <f t="shared" si="1"/>
        <v>20.517973052249115</v>
      </c>
      <c r="X26" s="270">
        <f t="shared" si="2"/>
        <v>34.86856839811618</v>
      </c>
      <c r="Y26" s="270">
        <f t="shared" si="3"/>
        <v>35.85902430869798</v>
      </c>
      <c r="Z26" s="274">
        <f>O26*100/P26</f>
        <v>40.94301561590296</v>
      </c>
    </row>
    <row r="27" spans="1:21" s="274" customFormat="1" ht="36" customHeight="1">
      <c r="A27" s="271"/>
      <c r="B27" s="271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4"/>
      <c r="N27" s="284"/>
      <c r="O27" s="284"/>
      <c r="P27" s="284"/>
      <c r="Q27" s="284"/>
      <c r="R27" s="284"/>
      <c r="S27" s="283"/>
      <c r="T27" s="283"/>
      <c r="U27" s="283"/>
    </row>
    <row r="28" spans="1:21" s="274" customFormat="1" ht="24.75" customHeight="1">
      <c r="A28" s="271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</row>
    <row r="29" spans="1:23" s="274" customFormat="1" ht="32.25" customHeight="1">
      <c r="A29" s="271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271"/>
      <c r="M29" s="270"/>
      <c r="N29" s="270"/>
      <c r="O29" s="271"/>
      <c r="P29" s="330" t="s">
        <v>120</v>
      </c>
      <c r="Q29" s="330"/>
      <c r="R29" s="330"/>
      <c r="S29" s="330"/>
      <c r="T29" s="330"/>
      <c r="U29" s="330"/>
      <c r="V29" s="271"/>
      <c r="W29" s="271"/>
    </row>
    <row r="30" spans="1:23" ht="26.25" customHeight="1">
      <c r="A30" s="25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7" t="s">
        <v>121</v>
      </c>
      <c r="Q30" s="327"/>
      <c r="R30" s="327"/>
      <c r="S30" s="327"/>
      <c r="T30" s="327"/>
      <c r="U30" s="327"/>
      <c r="V30" s="254"/>
      <c r="W30" s="254"/>
    </row>
    <row r="31" spans="2:21" ht="26.25" customHeight="1"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1" t="s">
        <v>106</v>
      </c>
      <c r="Q31" s="321"/>
      <c r="R31" s="321"/>
      <c r="S31" s="321"/>
      <c r="T31" s="321"/>
      <c r="U31" s="321"/>
    </row>
    <row r="32" spans="2:21" ht="24" customHeight="1"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2" t="s">
        <v>122</v>
      </c>
      <c r="Q32" s="322"/>
      <c r="R32" s="322"/>
      <c r="S32" s="322"/>
      <c r="T32" s="322"/>
      <c r="U32" s="322"/>
    </row>
    <row r="33" spans="2:21" ht="19.5" customHeight="1"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1" t="s">
        <v>108</v>
      </c>
      <c r="Q33" s="321"/>
      <c r="R33" s="321"/>
      <c r="S33" s="321"/>
      <c r="T33" s="321"/>
      <c r="U33" s="321"/>
    </row>
    <row r="34" spans="2:20" ht="21" customHeight="1"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R34" s="276"/>
      <c r="S34" s="256"/>
      <c r="T34" s="256"/>
    </row>
    <row r="35" spans="2:21" ht="33" customHeight="1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</row>
    <row r="36" spans="1:23" s="260" customFormat="1" ht="46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9"/>
      <c r="R36" s="278"/>
      <c r="S36" s="278"/>
      <c r="T36" s="278"/>
      <c r="U36" s="278"/>
      <c r="V36" s="278"/>
      <c r="W36" s="278"/>
    </row>
    <row r="37" ht="99.75" customHeight="1">
      <c r="F37" s="280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P23" sqref="P23"/>
    </sheetView>
  </sheetViews>
  <sheetFormatPr defaultColWidth="9.140625" defaultRowHeight="15"/>
  <cols>
    <col min="1" max="1" width="5.57421875" style="113" bestFit="1" customWidth="1"/>
    <col min="2" max="2" width="21.7109375" style="190" bestFit="1" customWidth="1"/>
    <col min="3" max="3" width="20.421875" style="112" bestFit="1" customWidth="1"/>
    <col min="4" max="4" width="8.7109375" style="112" customWidth="1"/>
    <col min="5" max="5" width="8.00390625" style="112" customWidth="1"/>
    <col min="6" max="6" width="20.00390625" style="112" customWidth="1"/>
    <col min="7" max="7" width="12.00390625" style="112" customWidth="1"/>
    <col min="8" max="8" width="12.140625" style="112" customWidth="1"/>
    <col min="9" max="9" width="18.28125" style="112" customWidth="1"/>
    <col min="10" max="10" width="15.421875" style="112" customWidth="1"/>
    <col min="11" max="11" width="17.57421875" style="112" customWidth="1"/>
    <col min="12" max="12" width="19.140625" style="112" bestFit="1" customWidth="1"/>
    <col min="13" max="13" width="14.8515625" style="112" bestFit="1" customWidth="1"/>
    <col min="14" max="14" width="22.00390625" style="112" bestFit="1" customWidth="1"/>
    <col min="15" max="15" width="17.421875" style="112" bestFit="1" customWidth="1"/>
    <col min="16" max="16" width="16.421875" style="112" customWidth="1"/>
    <col min="17" max="17" width="0.85546875" style="113" customWidth="1"/>
    <col min="18" max="18" width="2.7109375" style="114" customWidth="1"/>
    <col min="19" max="22" width="13.28125" style="114" customWidth="1"/>
    <col min="23" max="23" width="11.421875" style="113" bestFit="1" customWidth="1"/>
    <col min="24" max="25" width="12.140625" style="113" customWidth="1"/>
    <col min="26" max="26" width="15.140625" style="113" customWidth="1"/>
    <col min="27" max="27" width="17.8515625" style="113" customWidth="1"/>
    <col min="28" max="28" width="9.140625" style="114" customWidth="1"/>
    <col min="29" max="29" width="40.421875" style="114" customWidth="1"/>
    <col min="30" max="31" width="9.140625" style="114" customWidth="1"/>
    <col min="32" max="32" width="9.8515625" style="114" bestFit="1" customWidth="1"/>
    <col min="33" max="177" width="9.140625" style="114" customWidth="1"/>
    <col min="178" max="16384" width="9.140625" style="113" customWidth="1"/>
  </cols>
  <sheetData>
    <row r="1" spans="1:16" ht="31.5" customHeight="1">
      <c r="A1" s="342" t="s">
        <v>123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6" ht="15" customHeight="1">
      <c r="A2" s="115"/>
      <c r="B2" s="115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2"/>
    </row>
    <row r="3" spans="1:23" ht="17.25" customHeight="1">
      <c r="A3" s="343" t="s">
        <v>36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W3" s="116"/>
    </row>
    <row r="4" spans="1:16" ht="20.25" customHeight="1">
      <c r="A4" s="344" t="s">
        <v>151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1:177" s="118" customFormat="1" ht="45.75" customHeight="1">
      <c r="A5" s="117"/>
      <c r="C5" s="103"/>
      <c r="D5" s="103"/>
      <c r="E5" s="103"/>
      <c r="F5" s="103"/>
      <c r="G5" s="103"/>
      <c r="H5" s="103"/>
      <c r="I5" s="103"/>
      <c r="J5" s="103"/>
      <c r="P5" s="119"/>
      <c r="Q5" s="120"/>
      <c r="R5" s="121"/>
      <c r="S5" s="121"/>
      <c r="T5" s="121"/>
      <c r="U5" s="121"/>
      <c r="V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</row>
    <row r="6" spans="1:177" s="123" customFormat="1" ht="88.5" customHeight="1">
      <c r="A6" s="340" t="s">
        <v>0</v>
      </c>
      <c r="B6" s="340" t="s">
        <v>38</v>
      </c>
      <c r="C6" s="340" t="s">
        <v>142</v>
      </c>
      <c r="D6" s="340" t="s">
        <v>39</v>
      </c>
      <c r="E6" s="340"/>
      <c r="F6" s="340" t="s">
        <v>100</v>
      </c>
      <c r="G6" s="340"/>
      <c r="H6" s="340" t="s">
        <v>40</v>
      </c>
      <c r="I6" s="340" t="s">
        <v>147</v>
      </c>
      <c r="J6" s="340" t="s">
        <v>48</v>
      </c>
      <c r="K6" s="340" t="s">
        <v>135</v>
      </c>
      <c r="L6" s="340"/>
      <c r="M6" s="340"/>
      <c r="N6" s="340"/>
      <c r="O6" s="340"/>
      <c r="P6" s="340"/>
      <c r="R6" s="124"/>
      <c r="S6" s="124"/>
      <c r="T6" s="124"/>
      <c r="U6" s="124"/>
      <c r="V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</row>
    <row r="7" spans="1:177" s="123" customFormat="1" ht="46.5" customHeight="1">
      <c r="A7" s="340"/>
      <c r="B7" s="340"/>
      <c r="C7" s="340"/>
      <c r="D7" s="341" t="s">
        <v>41</v>
      </c>
      <c r="E7" s="341" t="s">
        <v>42</v>
      </c>
      <c r="F7" s="339" t="s">
        <v>41</v>
      </c>
      <c r="G7" s="339" t="s">
        <v>42</v>
      </c>
      <c r="H7" s="340"/>
      <c r="I7" s="340"/>
      <c r="J7" s="340"/>
      <c r="K7" s="340" t="s">
        <v>43</v>
      </c>
      <c r="L7" s="340" t="s">
        <v>44</v>
      </c>
      <c r="M7" s="340" t="s">
        <v>45</v>
      </c>
      <c r="N7" s="340" t="s">
        <v>49</v>
      </c>
      <c r="O7" s="340"/>
      <c r="P7" s="345" t="s">
        <v>148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</row>
    <row r="8" spans="1:177" s="123" customFormat="1" ht="37.5" customHeight="1">
      <c r="A8" s="340"/>
      <c r="B8" s="340"/>
      <c r="C8" s="340"/>
      <c r="D8" s="341"/>
      <c r="E8" s="341"/>
      <c r="F8" s="339"/>
      <c r="G8" s="339"/>
      <c r="H8" s="340"/>
      <c r="I8" s="340"/>
      <c r="J8" s="340"/>
      <c r="K8" s="340"/>
      <c r="L8" s="340"/>
      <c r="M8" s="340"/>
      <c r="N8" s="104" t="s">
        <v>50</v>
      </c>
      <c r="O8" s="104" t="s">
        <v>51</v>
      </c>
      <c r="P8" s="345"/>
      <c r="Q8" s="124"/>
      <c r="R8" s="124"/>
      <c r="S8" s="124">
        <v>4.32</v>
      </c>
      <c r="T8" s="124"/>
      <c r="U8" s="124"/>
      <c r="V8" s="124"/>
      <c r="W8" s="124"/>
      <c r="X8" s="124" t="s">
        <v>137</v>
      </c>
      <c r="Y8" s="124"/>
      <c r="Z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</row>
    <row r="9" spans="1:177" s="118" customFormat="1" ht="18" customHeight="1">
      <c r="A9" s="125"/>
      <c r="B9" s="126">
        <v>1</v>
      </c>
      <c r="C9" s="105">
        <v>2</v>
      </c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  <c r="O9" s="105">
        <v>14</v>
      </c>
      <c r="P9" s="105">
        <v>15</v>
      </c>
      <c r="Q9" s="124"/>
      <c r="R9" s="124"/>
      <c r="S9" s="124"/>
      <c r="T9" s="124"/>
      <c r="U9" s="124"/>
      <c r="V9" s="124"/>
      <c r="W9" s="104"/>
      <c r="X9" s="124"/>
      <c r="Y9" s="124"/>
      <c r="Z9" s="124" t="s">
        <v>136</v>
      </c>
      <c r="AA9" s="118" t="s">
        <v>146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</row>
    <row r="10" spans="1:178" s="137" customFormat="1" ht="30.75" customHeight="1">
      <c r="A10" s="127">
        <v>1</v>
      </c>
      <c r="B10" s="127" t="s">
        <v>22</v>
      </c>
      <c r="C10" s="106">
        <v>20.02</v>
      </c>
      <c r="D10" s="127"/>
      <c r="E10" s="127"/>
      <c r="F10" s="101">
        <v>727.73218</v>
      </c>
      <c r="G10" s="128"/>
      <c r="H10" s="129">
        <v>2.1448</v>
      </c>
      <c r="I10" s="101">
        <f>SUM(C10:H10)</f>
        <v>749.89698</v>
      </c>
      <c r="J10" s="101">
        <v>393.8925</v>
      </c>
      <c r="K10" s="101">
        <v>395.2601801</v>
      </c>
      <c r="L10" s="101">
        <v>31.280569999999997</v>
      </c>
      <c r="M10" s="101">
        <v>173.92886</v>
      </c>
      <c r="N10" s="101">
        <v>23.565310000000004</v>
      </c>
      <c r="O10" s="101">
        <v>6.17295</v>
      </c>
      <c r="P10" s="101">
        <f>SUM(K10:O10)</f>
        <v>630.2078700999999</v>
      </c>
      <c r="Q10" s="130"/>
      <c r="R10" s="130"/>
      <c r="S10" s="130">
        <f>P10*100/10987</f>
        <v>5.735941295167015</v>
      </c>
      <c r="T10" s="130">
        <f>S10*S8</f>
        <v>24.779266395121507</v>
      </c>
      <c r="U10" s="130">
        <f>K10+T10</f>
        <v>420.0394464951215</v>
      </c>
      <c r="V10" s="130">
        <v>395.24941786474926</v>
      </c>
      <c r="W10" s="131">
        <v>11</v>
      </c>
      <c r="X10" s="132">
        <f aca="true" t="shared" si="0" ref="X10:X23">P10/W10</f>
        <v>57.29162455454545</v>
      </c>
      <c r="Y10" s="133">
        <f>P10/11</f>
        <v>57.29162455454545</v>
      </c>
      <c r="Z10" s="133">
        <f aca="true" t="shared" si="1" ref="Z10:Z22">(K10/P10)*100</f>
        <v>62.71901682809532</v>
      </c>
      <c r="AA10" s="134">
        <f>K10/'Part-I'!P13</f>
        <v>164.40608613367607</v>
      </c>
      <c r="AB10" s="135"/>
      <c r="AC10" s="135" t="s">
        <v>22</v>
      </c>
      <c r="AD10" s="135">
        <v>506.45038</v>
      </c>
      <c r="AE10" s="135"/>
      <c r="AF10" s="244">
        <f>K10+M10+L10</f>
        <v>600.4696101000001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6"/>
    </row>
    <row r="11" spans="1:30" s="143" customFormat="1" ht="30.75" customHeight="1">
      <c r="A11" s="127">
        <v>2</v>
      </c>
      <c r="B11" s="127" t="s">
        <v>23</v>
      </c>
      <c r="C11" s="106">
        <v>52.31</v>
      </c>
      <c r="D11" s="127"/>
      <c r="E11" s="127"/>
      <c r="F11" s="101">
        <v>1097.92787</v>
      </c>
      <c r="G11" s="127"/>
      <c r="H11" s="316">
        <v>2.7846000000000006</v>
      </c>
      <c r="I11" s="101">
        <f aca="true" t="shared" si="2" ref="I11:I21">SUM(C11:H11)</f>
        <v>1153.0224699999999</v>
      </c>
      <c r="J11" s="101">
        <v>457.075</v>
      </c>
      <c r="K11" s="101">
        <v>597.4321648</v>
      </c>
      <c r="L11" s="101">
        <v>45.94278</v>
      </c>
      <c r="M11" s="101">
        <v>418.74294</v>
      </c>
      <c r="N11" s="101">
        <v>20.47693</v>
      </c>
      <c r="O11" s="101">
        <v>10.207329999999999</v>
      </c>
      <c r="P11" s="101">
        <f aca="true" t="shared" si="3" ref="P11:P22">SUM(K11:O11)</f>
        <v>1092.8021448</v>
      </c>
      <c r="Q11" s="138"/>
      <c r="R11" s="138"/>
      <c r="S11" s="130">
        <f aca="true" t="shared" si="4" ref="S11:S22">P11*100/10987</f>
        <v>9.946319694184035</v>
      </c>
      <c r="T11" s="130">
        <f aca="true" t="shared" si="5" ref="T11:T22">S11*S9</f>
        <v>0</v>
      </c>
      <c r="U11" s="130">
        <f aca="true" t="shared" si="6" ref="U11:U22">K11+T11</f>
        <v>597.4321648</v>
      </c>
      <c r="V11" s="130">
        <v>556.0749999999999</v>
      </c>
      <c r="W11" s="139">
        <v>11</v>
      </c>
      <c r="X11" s="140">
        <f t="shared" si="0"/>
        <v>99.34564952727273</v>
      </c>
      <c r="Y11" s="141">
        <f aca="true" t="shared" si="7" ref="Y11:Y23">P11/11</f>
        <v>99.34564952727273</v>
      </c>
      <c r="Z11" s="141">
        <f t="shared" si="1"/>
        <v>54.66974672797147</v>
      </c>
      <c r="AA11" s="142">
        <f>K11/'Part-I'!P14</f>
        <v>166.35540467240276</v>
      </c>
      <c r="AC11" s="143" t="s">
        <v>23</v>
      </c>
      <c r="AD11" s="143">
        <v>704.60117</v>
      </c>
    </row>
    <row r="12" spans="1:30" s="135" customFormat="1" ht="30.75" customHeight="1">
      <c r="A12" s="127">
        <v>3</v>
      </c>
      <c r="B12" s="127" t="s">
        <v>24</v>
      </c>
      <c r="C12" s="106">
        <v>101.11</v>
      </c>
      <c r="D12" s="127"/>
      <c r="E12" s="127"/>
      <c r="F12" s="101">
        <v>1573.53384</v>
      </c>
      <c r="G12" s="128"/>
      <c r="H12" s="129">
        <v>2.35667</v>
      </c>
      <c r="I12" s="101">
        <f t="shared" si="2"/>
        <v>1677.0005099999998</v>
      </c>
      <c r="J12" s="101">
        <v>1305.69074</v>
      </c>
      <c r="K12" s="101">
        <v>933.0792493</v>
      </c>
      <c r="L12" s="101">
        <v>46.54814</v>
      </c>
      <c r="M12" s="101">
        <v>256.19978</v>
      </c>
      <c r="N12" s="101">
        <v>17.63559</v>
      </c>
      <c r="O12" s="101">
        <v>10.62483</v>
      </c>
      <c r="P12" s="101">
        <f t="shared" si="3"/>
        <v>1264.0875893</v>
      </c>
      <c r="Q12" s="130"/>
      <c r="R12" s="130"/>
      <c r="S12" s="130">
        <f t="shared" si="4"/>
        <v>11.505302532993538</v>
      </c>
      <c r="T12" s="130">
        <f t="shared" si="5"/>
        <v>65.99373991238728</v>
      </c>
      <c r="U12" s="130">
        <f t="shared" si="6"/>
        <v>999.0729892123873</v>
      </c>
      <c r="V12" s="130">
        <v>946.3318055174382</v>
      </c>
      <c r="W12" s="131">
        <v>16</v>
      </c>
      <c r="X12" s="132">
        <f t="shared" si="0"/>
        <v>79.00547433125</v>
      </c>
      <c r="Y12" s="133">
        <f t="shared" si="7"/>
        <v>114.91705357272727</v>
      </c>
      <c r="Z12" s="133">
        <f t="shared" si="1"/>
        <v>73.81444586578854</v>
      </c>
      <c r="AA12" s="134">
        <f>K12/'Part-I'!P15</f>
        <v>143.23509580432034</v>
      </c>
      <c r="AC12" s="135" t="s">
        <v>24</v>
      </c>
      <c r="AD12" s="135">
        <v>831.20444</v>
      </c>
    </row>
    <row r="13" spans="1:30" s="146" customFormat="1" ht="30.75" customHeight="1">
      <c r="A13" s="127">
        <v>4</v>
      </c>
      <c r="B13" s="127" t="s">
        <v>25</v>
      </c>
      <c r="C13" s="106">
        <v>40.2</v>
      </c>
      <c r="D13" s="127"/>
      <c r="E13" s="127"/>
      <c r="F13" s="101">
        <v>2082.73145</v>
      </c>
      <c r="G13" s="128"/>
      <c r="H13" s="129">
        <v>5.6921800000000005</v>
      </c>
      <c r="I13" s="101">
        <f t="shared" si="2"/>
        <v>2128.62363</v>
      </c>
      <c r="J13" s="101">
        <v>867</v>
      </c>
      <c r="K13" s="101">
        <v>1369.090381</v>
      </c>
      <c r="L13" s="101">
        <v>107.26948999999999</v>
      </c>
      <c r="M13" s="101">
        <v>417.16356</v>
      </c>
      <c r="N13" s="101">
        <v>15.944159999999998</v>
      </c>
      <c r="O13" s="101">
        <v>13.37829</v>
      </c>
      <c r="P13" s="101">
        <f t="shared" si="3"/>
        <v>1922.845881</v>
      </c>
      <c r="Q13" s="144"/>
      <c r="R13" s="130"/>
      <c r="S13" s="130">
        <f t="shared" si="4"/>
        <v>17.501100218439973</v>
      </c>
      <c r="T13" s="130">
        <f t="shared" si="5"/>
        <v>174.07153777255803</v>
      </c>
      <c r="U13" s="130">
        <f t="shared" si="6"/>
        <v>1543.161918772558</v>
      </c>
      <c r="V13" s="130">
        <v>1457.4699398054706</v>
      </c>
      <c r="W13" s="145">
        <v>12</v>
      </c>
      <c r="X13" s="132">
        <f t="shared" si="0"/>
        <v>160.23715675</v>
      </c>
      <c r="Y13" s="133">
        <f t="shared" si="7"/>
        <v>174.804171</v>
      </c>
      <c r="Z13" s="133">
        <f t="shared" si="1"/>
        <v>71.20125406452166</v>
      </c>
      <c r="AA13" s="134">
        <f>K13/'Part-I'!P16</f>
        <v>622.7582324658961</v>
      </c>
      <c r="AC13" s="146" t="s">
        <v>25</v>
      </c>
      <c r="AD13" s="146">
        <v>1512.13425</v>
      </c>
    </row>
    <row r="14" spans="1:30" s="135" customFormat="1" ht="30.75" customHeight="1">
      <c r="A14" s="127">
        <v>5</v>
      </c>
      <c r="B14" s="127" t="s">
        <v>26</v>
      </c>
      <c r="C14" s="106">
        <v>58.34</v>
      </c>
      <c r="D14" s="127"/>
      <c r="E14" s="127"/>
      <c r="F14" s="101">
        <v>1525.55431</v>
      </c>
      <c r="G14" s="128"/>
      <c r="H14" s="129">
        <v>2.9976</v>
      </c>
      <c r="I14" s="101">
        <f t="shared" si="2"/>
        <v>1586.8919099999998</v>
      </c>
      <c r="J14" s="101">
        <v>776.125</v>
      </c>
      <c r="K14" s="101">
        <v>947.2152488</v>
      </c>
      <c r="L14" s="101">
        <v>87.38201999999998</v>
      </c>
      <c r="M14" s="101">
        <v>331.50733</v>
      </c>
      <c r="N14" s="101">
        <v>21.126540000000002</v>
      </c>
      <c r="O14" s="101">
        <v>14.67856</v>
      </c>
      <c r="P14" s="101">
        <f t="shared" si="3"/>
        <v>1401.9096988000001</v>
      </c>
      <c r="Q14" s="130"/>
      <c r="R14" s="130"/>
      <c r="S14" s="130">
        <f t="shared" si="4"/>
        <v>12.759713286611452</v>
      </c>
      <c r="T14" s="130">
        <f t="shared" si="5"/>
        <v>146.80436159672203</v>
      </c>
      <c r="U14" s="130">
        <f t="shared" si="6"/>
        <v>1094.019610396722</v>
      </c>
      <c r="V14" s="130">
        <v>1030.059143208207</v>
      </c>
      <c r="W14" s="131">
        <v>11</v>
      </c>
      <c r="X14" s="132">
        <f t="shared" si="0"/>
        <v>127.44633625454547</v>
      </c>
      <c r="Y14" s="133">
        <f t="shared" si="7"/>
        <v>127.44633625454547</v>
      </c>
      <c r="Z14" s="133">
        <f t="shared" si="1"/>
        <v>67.56606717328462</v>
      </c>
      <c r="AA14" s="134">
        <f>K14/'Part-I'!P17</f>
        <v>202.51845103245975</v>
      </c>
      <c r="AC14" s="135" t="s">
        <v>26</v>
      </c>
      <c r="AD14" s="135">
        <v>866.67451</v>
      </c>
    </row>
    <row r="15" spans="1:30" s="143" customFormat="1" ht="30.75" customHeight="1">
      <c r="A15" s="127">
        <v>6</v>
      </c>
      <c r="B15" s="127" t="s">
        <v>27</v>
      </c>
      <c r="C15" s="106">
        <v>30.75</v>
      </c>
      <c r="D15" s="127"/>
      <c r="E15" s="127"/>
      <c r="F15" s="101">
        <v>1332.12832</v>
      </c>
      <c r="G15" s="127"/>
      <c r="H15" s="129">
        <v>4.010439999999999</v>
      </c>
      <c r="I15" s="101">
        <f t="shared" si="2"/>
        <v>1366.88876</v>
      </c>
      <c r="J15" s="101">
        <v>1279</v>
      </c>
      <c r="K15" s="101">
        <v>719.9489827</v>
      </c>
      <c r="L15" s="101">
        <v>60.797079999999994</v>
      </c>
      <c r="M15" s="101">
        <v>403.23599</v>
      </c>
      <c r="N15" s="101">
        <v>17.144280000000002</v>
      </c>
      <c r="O15" s="101">
        <v>17.231699999999996</v>
      </c>
      <c r="P15" s="101">
        <f t="shared" si="3"/>
        <v>1218.3580327000002</v>
      </c>
      <c r="Q15" s="138"/>
      <c r="R15" s="138"/>
      <c r="S15" s="130">
        <f t="shared" si="4"/>
        <v>11.089087400564305</v>
      </c>
      <c r="T15" s="130">
        <f t="shared" si="5"/>
        <v>194.0712299283159</v>
      </c>
      <c r="U15" s="130">
        <f t="shared" si="6"/>
        <v>914.0202126283159</v>
      </c>
      <c r="V15" s="130">
        <v>853.5047831584388</v>
      </c>
      <c r="W15" s="139">
        <v>11</v>
      </c>
      <c r="X15" s="141">
        <f t="shared" si="0"/>
        <v>110.75982115454548</v>
      </c>
      <c r="Y15" s="141">
        <f t="shared" si="7"/>
        <v>110.75982115454548</v>
      </c>
      <c r="Z15" s="141">
        <f t="shared" si="1"/>
        <v>59.091741785009035</v>
      </c>
      <c r="AA15" s="142">
        <f>K15/'Part-I'!P18</f>
        <v>72.2988426043085</v>
      </c>
      <c r="AC15" s="143" t="s">
        <v>27</v>
      </c>
      <c r="AD15" s="143">
        <v>952.48678</v>
      </c>
    </row>
    <row r="16" spans="1:30" s="146" customFormat="1" ht="30.75" customHeight="1">
      <c r="A16" s="127">
        <v>7</v>
      </c>
      <c r="B16" s="127" t="s">
        <v>125</v>
      </c>
      <c r="C16" s="106">
        <v>8.22</v>
      </c>
      <c r="D16" s="127"/>
      <c r="E16" s="127"/>
      <c r="F16" s="101">
        <v>678.32623</v>
      </c>
      <c r="G16" s="128"/>
      <c r="H16" s="129">
        <v>2.68044</v>
      </c>
      <c r="I16" s="101">
        <f t="shared" si="2"/>
        <v>689.22667</v>
      </c>
      <c r="J16" s="101">
        <v>849.175</v>
      </c>
      <c r="K16" s="287">
        <v>483.8343152</v>
      </c>
      <c r="L16" s="147">
        <v>43.49883</v>
      </c>
      <c r="M16" s="147">
        <v>71.13099</v>
      </c>
      <c r="N16" s="147">
        <v>7.251989999999999</v>
      </c>
      <c r="O16" s="147">
        <v>14.372309999999999</v>
      </c>
      <c r="P16" s="101">
        <f t="shared" si="3"/>
        <v>620.0884351999999</v>
      </c>
      <c r="Q16" s="144"/>
      <c r="R16" s="130"/>
      <c r="S16" s="130">
        <f t="shared" si="4"/>
        <v>5.643837582597615</v>
      </c>
      <c r="T16" s="130">
        <f t="shared" si="5"/>
        <v>72.01374939014785</v>
      </c>
      <c r="U16" s="130">
        <f t="shared" si="6"/>
        <v>555.8480645901478</v>
      </c>
      <c r="V16" s="130">
        <v>527.0330525286279</v>
      </c>
      <c r="W16" s="145">
        <v>10</v>
      </c>
      <c r="X16" s="133">
        <f t="shared" si="0"/>
        <v>62.00884351999999</v>
      </c>
      <c r="Y16" s="148">
        <f t="shared" si="7"/>
        <v>56.37167592727272</v>
      </c>
      <c r="Z16" s="133" t="e">
        <f>(#REF!/P16)*100</f>
        <v>#REF!</v>
      </c>
      <c r="AA16" s="134" t="e">
        <f>#REF!/'Part-I'!P19</f>
        <v>#REF!</v>
      </c>
      <c r="AC16" s="146" t="s">
        <v>28</v>
      </c>
      <c r="AD16" s="146">
        <v>466.60143</v>
      </c>
    </row>
    <row r="17" spans="1:30" s="135" customFormat="1" ht="30.75" customHeight="1">
      <c r="A17" s="127">
        <v>8</v>
      </c>
      <c r="B17" s="127" t="s">
        <v>29</v>
      </c>
      <c r="C17" s="106">
        <v>48.13</v>
      </c>
      <c r="D17" s="127"/>
      <c r="E17" s="127"/>
      <c r="F17" s="101">
        <v>784.2999</v>
      </c>
      <c r="G17" s="128"/>
      <c r="H17" s="129">
        <v>1.7359499999999999</v>
      </c>
      <c r="I17" s="101">
        <f t="shared" si="2"/>
        <v>834.16585</v>
      </c>
      <c r="J17" s="101">
        <v>650.6125</v>
      </c>
      <c r="K17" s="101">
        <v>362.1797351</v>
      </c>
      <c r="L17" s="101">
        <v>34.76806</v>
      </c>
      <c r="M17" s="101">
        <v>173.2892</v>
      </c>
      <c r="N17" s="101">
        <v>10.918849999999999</v>
      </c>
      <c r="O17" s="101">
        <v>7.554290000000001</v>
      </c>
      <c r="P17" s="101">
        <f t="shared" si="3"/>
        <v>588.7101351000001</v>
      </c>
      <c r="Q17" s="130"/>
      <c r="R17" s="130"/>
      <c r="S17" s="130">
        <f t="shared" si="4"/>
        <v>5.358242787840176</v>
      </c>
      <c r="T17" s="130">
        <f t="shared" si="5"/>
        <v>59.41802258780305</v>
      </c>
      <c r="U17" s="130">
        <f t="shared" si="6"/>
        <v>421.5977576878031</v>
      </c>
      <c r="V17" s="130">
        <v>394.9048928760487</v>
      </c>
      <c r="W17" s="131">
        <v>12</v>
      </c>
      <c r="X17" s="133">
        <f t="shared" si="0"/>
        <v>49.05917792500001</v>
      </c>
      <c r="Y17" s="133">
        <f t="shared" si="7"/>
        <v>53.5191031909091</v>
      </c>
      <c r="Z17" s="133">
        <f t="shared" si="1"/>
        <v>61.520893476460884</v>
      </c>
      <c r="AA17" s="134">
        <f>K17/'Part-I'!P20</f>
        <v>197.69312462132172</v>
      </c>
      <c r="AC17" s="135" t="s">
        <v>149</v>
      </c>
      <c r="AD17" s="135">
        <v>402.7251</v>
      </c>
    </row>
    <row r="18" spans="1:30" s="152" customFormat="1" ht="30.75" customHeight="1">
      <c r="A18" s="237">
        <v>9</v>
      </c>
      <c r="B18" s="237" t="s">
        <v>30</v>
      </c>
      <c r="C18" s="238">
        <v>17.93</v>
      </c>
      <c r="D18" s="237"/>
      <c r="E18" s="237"/>
      <c r="F18" s="101">
        <v>514.83791</v>
      </c>
      <c r="G18" s="239"/>
      <c r="H18" s="288">
        <v>0.84183</v>
      </c>
      <c r="I18" s="101">
        <f t="shared" si="2"/>
        <v>533.6097399999999</v>
      </c>
      <c r="J18" s="289">
        <v>307.95</v>
      </c>
      <c r="K18" s="290">
        <v>325.2404174</v>
      </c>
      <c r="L18" s="290">
        <v>22.74973</v>
      </c>
      <c r="M18" s="290">
        <v>43.41822</v>
      </c>
      <c r="N18" s="290">
        <v>10.045729999999999</v>
      </c>
      <c r="O18" s="290">
        <v>7.02581</v>
      </c>
      <c r="P18" s="101">
        <f t="shared" si="3"/>
        <v>408.4799074</v>
      </c>
      <c r="Q18" s="149"/>
      <c r="R18" s="130"/>
      <c r="S18" s="130">
        <f t="shared" si="4"/>
        <v>3.717847523436789</v>
      </c>
      <c r="T18" s="130">
        <f t="shared" si="5"/>
        <v>20.982927579140018</v>
      </c>
      <c r="U18" s="130">
        <f t="shared" si="6"/>
        <v>346.22334497914005</v>
      </c>
      <c r="V18" s="130">
        <v>329.2062499634278</v>
      </c>
      <c r="W18" s="150">
        <v>5</v>
      </c>
      <c r="X18" s="133">
        <f t="shared" si="0"/>
        <v>81.69598148</v>
      </c>
      <c r="Y18" s="151">
        <f t="shared" si="7"/>
        <v>37.13453703636364</v>
      </c>
      <c r="Z18" s="133" t="e">
        <f>(#REF!/P18)*100</f>
        <v>#REF!</v>
      </c>
      <c r="AA18" s="134" t="e">
        <f>#REF!/'Part-I'!P21</f>
        <v>#REF!</v>
      </c>
      <c r="AC18" s="152" t="s">
        <v>30</v>
      </c>
      <c r="AD18" s="152">
        <v>230.73651</v>
      </c>
    </row>
    <row r="19" spans="1:178" s="147" customFormat="1" ht="30.75" customHeight="1">
      <c r="A19" s="127">
        <v>10</v>
      </c>
      <c r="B19" s="127" t="s">
        <v>31</v>
      </c>
      <c r="C19" s="106">
        <v>81.67</v>
      </c>
      <c r="D19" s="127"/>
      <c r="E19" s="127"/>
      <c r="F19" s="101">
        <v>925.22008</v>
      </c>
      <c r="G19" s="127"/>
      <c r="H19" s="129">
        <v>2.0117900000000004</v>
      </c>
      <c r="I19" s="101">
        <f t="shared" si="2"/>
        <v>1008.90187</v>
      </c>
      <c r="J19" s="101">
        <v>1328.065404</v>
      </c>
      <c r="K19" s="101">
        <v>416.5792985</v>
      </c>
      <c r="L19" s="101">
        <v>33.81799</v>
      </c>
      <c r="M19" s="101">
        <v>197.80291999999997</v>
      </c>
      <c r="N19" s="101">
        <v>5.59554</v>
      </c>
      <c r="O19" s="101">
        <v>6.24411</v>
      </c>
      <c r="P19" s="101">
        <f t="shared" si="3"/>
        <v>660.0398584999999</v>
      </c>
      <c r="Q19" s="138"/>
      <c r="R19" s="138"/>
      <c r="S19" s="130">
        <f t="shared" si="4"/>
        <v>6.007462077910257</v>
      </c>
      <c r="T19" s="130">
        <f t="shared" si="5"/>
        <v>32.18944035218599</v>
      </c>
      <c r="U19" s="130">
        <f t="shared" si="6"/>
        <v>448.768738852186</v>
      </c>
      <c r="V19" s="130">
        <v>421.40043101378836</v>
      </c>
      <c r="W19" s="139">
        <v>16</v>
      </c>
      <c r="X19" s="141">
        <f t="shared" si="0"/>
        <v>41.252491156249995</v>
      </c>
      <c r="Y19" s="129">
        <f t="shared" si="7"/>
        <v>60.003623499999996</v>
      </c>
      <c r="Z19" s="141">
        <f t="shared" si="1"/>
        <v>63.11426395471237</v>
      </c>
      <c r="AA19" s="142">
        <f>K19/'Part-I'!P22</f>
        <v>165.43397740359796</v>
      </c>
      <c r="AB19" s="143"/>
      <c r="AC19" s="143" t="s">
        <v>31</v>
      </c>
      <c r="AD19" s="143">
        <v>677.9344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53"/>
    </row>
    <row r="20" spans="1:30" s="146" customFormat="1" ht="30.75" customHeight="1">
      <c r="A20" s="240">
        <v>11</v>
      </c>
      <c r="B20" s="240" t="s">
        <v>32</v>
      </c>
      <c r="C20" s="241">
        <v>18.16</v>
      </c>
      <c r="D20" s="240"/>
      <c r="E20" s="240"/>
      <c r="F20" s="101">
        <v>500.64151</v>
      </c>
      <c r="G20" s="242"/>
      <c r="H20" s="129">
        <v>2.66568</v>
      </c>
      <c r="I20" s="101">
        <f t="shared" si="2"/>
        <v>521.46719</v>
      </c>
      <c r="J20" s="291">
        <v>337.3375</v>
      </c>
      <c r="K20" s="290">
        <v>286.6171977</v>
      </c>
      <c r="L20" s="290">
        <v>21.45787</v>
      </c>
      <c r="M20" s="290">
        <v>76.99409</v>
      </c>
      <c r="N20" s="290">
        <v>1.55359</v>
      </c>
      <c r="O20" s="290">
        <v>4.19172</v>
      </c>
      <c r="P20" s="101">
        <f t="shared" si="3"/>
        <v>390.81446769999997</v>
      </c>
      <c r="Q20" s="144"/>
      <c r="R20" s="130"/>
      <c r="S20" s="130">
        <f t="shared" si="4"/>
        <v>3.5570625985255298</v>
      </c>
      <c r="T20" s="130">
        <f t="shared" si="5"/>
        <v>13.22461637263777</v>
      </c>
      <c r="U20" s="130">
        <f t="shared" si="6"/>
        <v>299.8418140726378</v>
      </c>
      <c r="V20" s="130">
        <v>284.0693844620202</v>
      </c>
      <c r="W20" s="145">
        <v>5</v>
      </c>
      <c r="X20" s="133">
        <f t="shared" si="0"/>
        <v>78.16289354</v>
      </c>
      <c r="Y20" s="148">
        <f t="shared" si="7"/>
        <v>35.52858797272727</v>
      </c>
      <c r="Z20" s="133" t="e">
        <f>(#REF!/P20)*100</f>
        <v>#REF!</v>
      </c>
      <c r="AA20" s="134" t="e">
        <f>#REF!/'Part-I'!P23</f>
        <v>#REF!</v>
      </c>
      <c r="AC20" s="146" t="s">
        <v>32</v>
      </c>
      <c r="AD20" s="146">
        <v>243.09251</v>
      </c>
    </row>
    <row r="21" spans="1:30" s="135" customFormat="1" ht="30.75" customHeight="1">
      <c r="A21" s="127">
        <v>12</v>
      </c>
      <c r="B21" s="127" t="s">
        <v>33</v>
      </c>
      <c r="C21" s="106">
        <v>15.1</v>
      </c>
      <c r="D21" s="127"/>
      <c r="E21" s="127"/>
      <c r="F21" s="101">
        <v>436.01</v>
      </c>
      <c r="G21" s="128"/>
      <c r="H21" s="129">
        <v>2.18291</v>
      </c>
      <c r="I21" s="101">
        <f t="shared" si="2"/>
        <v>453.29291</v>
      </c>
      <c r="J21" s="101">
        <v>405.625</v>
      </c>
      <c r="K21" s="101">
        <v>212.9222801</v>
      </c>
      <c r="L21" s="101">
        <v>21.75299</v>
      </c>
      <c r="M21" s="101">
        <v>92.45063</v>
      </c>
      <c r="N21" s="101">
        <v>23.28587</v>
      </c>
      <c r="O21" s="317">
        <v>3.45718</v>
      </c>
      <c r="P21" s="101">
        <f t="shared" si="3"/>
        <v>353.8689501</v>
      </c>
      <c r="Q21" s="130"/>
      <c r="R21" s="130"/>
      <c r="S21" s="130">
        <f t="shared" si="4"/>
        <v>3.2207968517338674</v>
      </c>
      <c r="T21" s="130">
        <f t="shared" si="5"/>
        <v>19.348814947443955</v>
      </c>
      <c r="U21" s="130">
        <f t="shared" si="6"/>
        <v>232.27109504744396</v>
      </c>
      <c r="V21" s="130">
        <v>217.44448577735142</v>
      </c>
      <c r="W21" s="131">
        <v>12</v>
      </c>
      <c r="X21" s="133">
        <f t="shared" si="0"/>
        <v>29.489079175</v>
      </c>
      <c r="Y21" s="133">
        <f t="shared" si="7"/>
        <v>32.169904554545454</v>
      </c>
      <c r="Z21" s="133">
        <f t="shared" si="1"/>
        <v>60.169811462641796</v>
      </c>
      <c r="AA21" s="134">
        <f>K21/'Part-I'!P24</f>
        <v>144.3188646160937</v>
      </c>
      <c r="AC21" s="135" t="s">
        <v>33</v>
      </c>
      <c r="AD21" s="135">
        <v>282.2</v>
      </c>
    </row>
    <row r="22" spans="1:30" s="135" customFormat="1" ht="30.75" customHeight="1">
      <c r="A22" s="127">
        <v>13</v>
      </c>
      <c r="B22" s="127" t="s">
        <v>34</v>
      </c>
      <c r="C22" s="106">
        <v>73.46</v>
      </c>
      <c r="D22" s="127"/>
      <c r="E22" s="127"/>
      <c r="F22" s="101">
        <v>969.42101</v>
      </c>
      <c r="G22" s="128"/>
      <c r="H22" s="129">
        <v>2.31</v>
      </c>
      <c r="I22" s="101">
        <f>SUM(C22:H22)</f>
        <v>1045.19101</v>
      </c>
      <c r="J22" s="101">
        <v>405.0875</v>
      </c>
      <c r="K22" s="101">
        <v>558.5356708</v>
      </c>
      <c r="L22" s="101">
        <v>51.44267</v>
      </c>
      <c r="M22" s="101">
        <v>231.52177999999998</v>
      </c>
      <c r="N22" s="101">
        <v>17.87322</v>
      </c>
      <c r="O22" s="317">
        <v>7.73419</v>
      </c>
      <c r="P22" s="101">
        <f t="shared" si="3"/>
        <v>867.1075308000001</v>
      </c>
      <c r="Q22" s="130"/>
      <c r="R22" s="130"/>
      <c r="S22" s="130">
        <f t="shared" si="4"/>
        <v>7.892122788750342</v>
      </c>
      <c r="T22" s="130">
        <f t="shared" si="5"/>
        <v>28.072774794834842</v>
      </c>
      <c r="U22" s="130">
        <f t="shared" si="6"/>
        <v>586.6084455948348</v>
      </c>
      <c r="V22" s="130">
        <v>551.7063168440602</v>
      </c>
      <c r="W22" s="131">
        <v>14</v>
      </c>
      <c r="X22" s="133">
        <f t="shared" si="0"/>
        <v>61.936252200000006</v>
      </c>
      <c r="Y22" s="133">
        <f t="shared" si="7"/>
        <v>78.82795734545455</v>
      </c>
      <c r="Z22" s="133">
        <f t="shared" si="1"/>
        <v>64.41365701030077</v>
      </c>
      <c r="AA22" s="134">
        <f>K22/'Part-I'!P25</f>
        <v>272.03973952092895</v>
      </c>
      <c r="AC22" s="135" t="s">
        <v>34</v>
      </c>
      <c r="AD22" s="135">
        <v>641.19701</v>
      </c>
    </row>
    <row r="23" spans="1:26" s="158" customFormat="1" ht="30.75" customHeight="1">
      <c r="A23" s="99"/>
      <c r="B23" s="99" t="s">
        <v>5</v>
      </c>
      <c r="C23" s="107">
        <f>SUM(C10:C22)</f>
        <v>565.4000000000001</v>
      </c>
      <c r="D23" s="99">
        <f>SUM(D10:D22)</f>
        <v>0</v>
      </c>
      <c r="E23" s="99">
        <f>SUM(E10:E22)</f>
        <v>0</v>
      </c>
      <c r="F23" s="100">
        <f>SUM(F10:F22)</f>
        <v>13148.364609999999</v>
      </c>
      <c r="G23" s="154"/>
      <c r="H23" s="100">
        <f aca="true" t="shared" si="8" ref="H23:P23">SUM(H10:H22)</f>
        <v>34.41489000000001</v>
      </c>
      <c r="I23" s="101">
        <f>SUM(C23:H23)</f>
        <v>13748.179499999998</v>
      </c>
      <c r="J23" s="100">
        <f t="shared" si="8"/>
        <v>9362.636144</v>
      </c>
      <c r="K23" s="100">
        <f t="shared" si="8"/>
        <v>7607.935121499999</v>
      </c>
      <c r="L23" s="100">
        <f t="shared" si="8"/>
        <v>608.7082199999999</v>
      </c>
      <c r="M23" s="100">
        <f t="shared" si="8"/>
        <v>2887.3862900000004</v>
      </c>
      <c r="N23" s="100">
        <f t="shared" si="8"/>
        <v>192.41760000000002</v>
      </c>
      <c r="O23" s="100">
        <f t="shared" si="8"/>
        <v>122.87326999999998</v>
      </c>
      <c r="P23" s="100">
        <f t="shared" si="8"/>
        <v>11419.320501500002</v>
      </c>
      <c r="Q23" s="155"/>
      <c r="R23" s="130"/>
      <c r="S23" s="130"/>
      <c r="T23" s="130"/>
      <c r="U23" s="130"/>
      <c r="V23" s="130"/>
      <c r="W23" s="156">
        <f>SUM(W10:W22)</f>
        <v>146</v>
      </c>
      <c r="X23" s="133">
        <f t="shared" si="0"/>
        <v>78.21452398287673</v>
      </c>
      <c r="Y23" s="157">
        <f t="shared" si="7"/>
        <v>1038.1200455909093</v>
      </c>
      <c r="Z23" s="157">
        <f>(K23/P23)*100</f>
        <v>66.62336100033839</v>
      </c>
    </row>
    <row r="24" spans="1:26" s="135" customFormat="1" ht="30.75" customHeight="1">
      <c r="A24" s="127">
        <v>1</v>
      </c>
      <c r="B24" s="127" t="s">
        <v>46</v>
      </c>
      <c r="C24" s="101">
        <v>120.21</v>
      </c>
      <c r="D24" s="101"/>
      <c r="E24" s="101"/>
      <c r="F24" s="101">
        <v>258.72747</v>
      </c>
      <c r="G24" s="243"/>
      <c r="H24" s="101"/>
      <c r="I24" s="101">
        <f>SUM(C24:H24)</f>
        <v>378.93746999999996</v>
      </c>
      <c r="J24" s="101"/>
      <c r="K24" s="101">
        <v>104.61</v>
      </c>
      <c r="L24" s="101">
        <v>0</v>
      </c>
      <c r="M24" s="101">
        <v>0</v>
      </c>
      <c r="N24" s="101">
        <v>0</v>
      </c>
      <c r="O24" s="101">
        <v>0</v>
      </c>
      <c r="P24" s="101">
        <v>104.61</v>
      </c>
      <c r="W24" s="292">
        <f>P27-O27-N27</f>
        <v>11208.639631500002</v>
      </c>
      <c r="X24" s="137"/>
      <c r="Y24" s="137">
        <f>P23/146</f>
        <v>78.21452398287673</v>
      </c>
      <c r="Z24" s="137"/>
    </row>
    <row r="25" spans="1:26" s="135" customFormat="1" ht="30.75" customHeight="1">
      <c r="A25" s="127">
        <v>2</v>
      </c>
      <c r="B25" s="127" t="s">
        <v>99</v>
      </c>
      <c r="C25" s="101">
        <v>670.31</v>
      </c>
      <c r="D25" s="101"/>
      <c r="E25" s="101"/>
      <c r="F25" s="101">
        <v>13084</v>
      </c>
      <c r="G25" s="101">
        <v>0</v>
      </c>
      <c r="H25" s="101">
        <v>47.19</v>
      </c>
      <c r="I25" s="101">
        <f>SUM(C25:H25)</f>
        <v>13801.5</v>
      </c>
      <c r="J25" s="101"/>
      <c r="K25" s="101">
        <v>0</v>
      </c>
      <c r="L25" s="101">
        <v>0</v>
      </c>
      <c r="M25" s="101">
        <v>0</v>
      </c>
      <c r="N25" s="101">
        <v>35.34</v>
      </c>
      <c r="O25" s="101">
        <v>4.23</v>
      </c>
      <c r="P25" s="101">
        <f>N25+O25</f>
        <v>39.57000000000001</v>
      </c>
      <c r="W25" s="137"/>
      <c r="X25" s="137"/>
      <c r="Y25" s="137"/>
      <c r="Z25" s="137"/>
    </row>
    <row r="26" spans="1:26" s="146" customFormat="1" ht="30.75" customHeight="1">
      <c r="A26" s="127"/>
      <c r="B26" s="127" t="s">
        <v>5</v>
      </c>
      <c r="C26" s="101">
        <f>SUM(C24:C25)</f>
        <v>790.52</v>
      </c>
      <c r="D26" s="101">
        <f aca="true" t="shared" si="9" ref="D26:O26">SUM(D24:D25)</f>
        <v>0</v>
      </c>
      <c r="E26" s="101">
        <f>SUM(E24:E25)</f>
        <v>0</v>
      </c>
      <c r="F26" s="101">
        <f>F25</f>
        <v>13084</v>
      </c>
      <c r="G26" s="101">
        <f>SUM(G24:G25)</f>
        <v>0</v>
      </c>
      <c r="H26" s="101">
        <f>SUM(H25:H25)</f>
        <v>47.19</v>
      </c>
      <c r="I26" s="101">
        <f>SUM(I24:I25)</f>
        <v>14180.43747</v>
      </c>
      <c r="J26" s="101"/>
      <c r="K26" s="101">
        <f t="shared" si="9"/>
        <v>104.61</v>
      </c>
      <c r="L26" s="101">
        <f t="shared" si="9"/>
        <v>0</v>
      </c>
      <c r="M26" s="101">
        <f t="shared" si="9"/>
        <v>0</v>
      </c>
      <c r="N26" s="101">
        <f t="shared" si="9"/>
        <v>35.34</v>
      </c>
      <c r="O26" s="101">
        <f t="shared" si="9"/>
        <v>4.23</v>
      </c>
      <c r="P26" s="101">
        <f>SUM(K26:O26)</f>
        <v>144.17999999999998</v>
      </c>
      <c r="R26" s="159"/>
      <c r="S26" s="159"/>
      <c r="T26" s="159"/>
      <c r="U26" s="159"/>
      <c r="V26" s="159"/>
      <c r="W26" s="160"/>
      <c r="X26" s="160"/>
      <c r="Y26" s="160"/>
      <c r="Z26" s="160"/>
    </row>
    <row r="27" spans="1:26" s="158" customFormat="1" ht="30.75" customHeight="1">
      <c r="A27" s="99"/>
      <c r="B27" s="99" t="s">
        <v>47</v>
      </c>
      <c r="C27" s="107">
        <f aca="true" t="shared" si="10" ref="C27:O27">C23+C26</f>
        <v>1355.92</v>
      </c>
      <c r="D27" s="99">
        <f t="shared" si="10"/>
        <v>0</v>
      </c>
      <c r="E27" s="99">
        <f>E26</f>
        <v>0</v>
      </c>
      <c r="F27" s="100">
        <f>F26</f>
        <v>13084</v>
      </c>
      <c r="G27" s="100">
        <f>G23+G26</f>
        <v>0</v>
      </c>
      <c r="H27" s="100">
        <f t="shared" si="10"/>
        <v>81.60489000000001</v>
      </c>
      <c r="I27" s="100">
        <f>SUM(C27:H27)</f>
        <v>14521.52489</v>
      </c>
      <c r="J27" s="100">
        <f>J23</f>
        <v>9362.636144</v>
      </c>
      <c r="K27" s="100">
        <f t="shared" si="10"/>
        <v>7712.5451214999985</v>
      </c>
      <c r="L27" s="100">
        <f t="shared" si="10"/>
        <v>608.7082199999999</v>
      </c>
      <c r="M27" s="100">
        <f t="shared" si="10"/>
        <v>2887.3862900000004</v>
      </c>
      <c r="N27" s="100">
        <f t="shared" si="10"/>
        <v>227.75760000000002</v>
      </c>
      <c r="O27" s="100">
        <f t="shared" si="10"/>
        <v>127.10326999999998</v>
      </c>
      <c r="P27" s="100">
        <f>P23+P26</f>
        <v>11563.500501500002</v>
      </c>
      <c r="W27" s="161"/>
      <c r="X27" s="161"/>
      <c r="Y27" s="161"/>
      <c r="Z27" s="161"/>
    </row>
    <row r="28" spans="1:177" s="166" customFormat="1" ht="33" customHeight="1">
      <c r="A28" s="162"/>
      <c r="B28" s="347"/>
      <c r="C28" s="347"/>
      <c r="D28" s="347"/>
      <c r="E28" s="347"/>
      <c r="F28" s="347"/>
      <c r="G28" s="347"/>
      <c r="H28" s="347"/>
      <c r="I28" s="347"/>
      <c r="J28" s="347"/>
      <c r="K28" s="163"/>
      <c r="L28" s="164"/>
      <c r="M28" s="164"/>
      <c r="N28" s="164"/>
      <c r="O28" s="320"/>
      <c r="P28" s="165"/>
      <c r="R28" s="167"/>
      <c r="S28" s="167"/>
      <c r="T28" s="167"/>
      <c r="U28" s="167"/>
      <c r="V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</row>
    <row r="29" spans="1:177" s="118" customFormat="1" ht="41.25" customHeight="1">
      <c r="A29" s="162"/>
      <c r="B29" s="347"/>
      <c r="C29" s="347"/>
      <c r="D29" s="347"/>
      <c r="E29" s="347"/>
      <c r="F29" s="347"/>
      <c r="G29" s="347"/>
      <c r="H29" s="347"/>
      <c r="I29" s="347"/>
      <c r="J29" s="347"/>
      <c r="K29" s="168"/>
      <c r="L29" s="168"/>
      <c r="M29" s="346" t="s">
        <v>120</v>
      </c>
      <c r="N29" s="346"/>
      <c r="O29" s="346"/>
      <c r="P29" s="169"/>
      <c r="Q29" s="170"/>
      <c r="R29" s="170"/>
      <c r="S29" s="170"/>
      <c r="T29" s="170"/>
      <c r="U29" s="170"/>
      <c r="V29" s="170"/>
      <c r="W29" s="171"/>
      <c r="Y29" s="17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</row>
    <row r="30" spans="2:177" s="118" customFormat="1" ht="17.2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173"/>
      <c r="L30" s="103"/>
      <c r="M30" s="174"/>
      <c r="N30" s="175" t="s">
        <v>121</v>
      </c>
      <c r="O30" s="174"/>
      <c r="P30" s="176"/>
      <c r="Q30" s="122"/>
      <c r="R30" s="122"/>
      <c r="S30" s="122"/>
      <c r="T30" s="122"/>
      <c r="U30" s="122"/>
      <c r="V30" s="122"/>
      <c r="W30" s="122"/>
      <c r="X30" s="122"/>
      <c r="Y30" s="122"/>
      <c r="Z30" s="177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</row>
    <row r="31" spans="2:177" s="118" customFormat="1" ht="12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173"/>
      <c r="L31" s="103"/>
      <c r="M31" s="103"/>
      <c r="N31" s="175" t="s">
        <v>106</v>
      </c>
      <c r="O31" s="103"/>
      <c r="P31" s="176"/>
      <c r="Q31" s="122"/>
      <c r="R31" s="122"/>
      <c r="S31" s="122"/>
      <c r="T31" s="122"/>
      <c r="U31" s="122"/>
      <c r="V31" s="122"/>
      <c r="W31" s="122"/>
      <c r="X31" s="178"/>
      <c r="Y31" s="122"/>
      <c r="Z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</row>
    <row r="32" spans="2:177" s="118" customFormat="1" ht="12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103"/>
      <c r="L32" s="168"/>
      <c r="M32" s="179"/>
      <c r="N32" s="180" t="s">
        <v>122</v>
      </c>
      <c r="O32" s="181"/>
      <c r="P32" s="176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</row>
    <row r="33" spans="2:26" ht="16.5">
      <c r="B33" s="182"/>
      <c r="C33" s="108"/>
      <c r="D33" s="111"/>
      <c r="E33" s="183"/>
      <c r="F33" s="184"/>
      <c r="G33" s="184"/>
      <c r="H33" s="185"/>
      <c r="M33" s="179"/>
      <c r="N33" s="175" t="s">
        <v>108</v>
      </c>
      <c r="O33" s="181"/>
      <c r="P33" s="176" t="s">
        <v>138</v>
      </c>
      <c r="Q33" s="114"/>
      <c r="W33" s="114"/>
      <c r="X33" s="114"/>
      <c r="Y33" s="114"/>
      <c r="Z33" s="114"/>
    </row>
    <row r="34" spans="2:26" ht="36.75" customHeight="1">
      <c r="B34" s="182"/>
      <c r="C34" s="108"/>
      <c r="D34" s="111"/>
      <c r="E34" s="183"/>
      <c r="P34" s="176"/>
      <c r="Q34" s="114"/>
      <c r="W34" s="114"/>
      <c r="X34" s="114"/>
      <c r="Y34" s="114"/>
      <c r="Z34" s="114"/>
    </row>
    <row r="35" spans="2:26" ht="76.5" customHeight="1">
      <c r="B35" s="182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4"/>
      <c r="W35" s="114"/>
      <c r="X35" s="114"/>
      <c r="Y35" s="114"/>
      <c r="Z35" s="114"/>
    </row>
    <row r="36" spans="2:26" ht="16.5">
      <c r="B36" s="182"/>
      <c r="C36" s="108"/>
      <c r="D36" s="111"/>
      <c r="E36" s="183"/>
      <c r="P36" s="176"/>
      <c r="Q36" s="114"/>
      <c r="W36" s="114"/>
      <c r="X36" s="114"/>
      <c r="Y36" s="114"/>
      <c r="Z36" s="114"/>
    </row>
    <row r="37" spans="2:26" ht="16.5">
      <c r="B37" s="182"/>
      <c r="C37" s="108"/>
      <c r="D37" s="111"/>
      <c r="E37" s="183"/>
      <c r="P37" s="176"/>
      <c r="Q37" s="114"/>
      <c r="W37" s="114"/>
      <c r="X37" s="114"/>
      <c r="Y37" s="114"/>
      <c r="Z37" s="114"/>
    </row>
    <row r="38" spans="2:26" ht="16.5">
      <c r="B38" s="182"/>
      <c r="C38" s="108"/>
      <c r="D38" s="111"/>
      <c r="E38" s="183"/>
      <c r="P38" s="176"/>
      <c r="Q38" s="114"/>
      <c r="W38" s="114"/>
      <c r="X38" s="114"/>
      <c r="Y38" s="114"/>
      <c r="Z38" s="114"/>
    </row>
    <row r="39" spans="2:26" ht="16.5">
      <c r="B39" s="182"/>
      <c r="C39" s="108"/>
      <c r="D39" s="111"/>
      <c r="E39" s="183"/>
      <c r="P39" s="111"/>
      <c r="Q39" s="114"/>
      <c r="W39" s="114"/>
      <c r="X39" s="114"/>
      <c r="Y39" s="114"/>
      <c r="Z39" s="114"/>
    </row>
    <row r="40" spans="2:5" ht="16.5">
      <c r="B40" s="182"/>
      <c r="C40" s="109"/>
      <c r="D40" s="111"/>
      <c r="E40" s="183"/>
    </row>
    <row r="41" spans="2:5" ht="16.5">
      <c r="B41" s="182"/>
      <c r="C41" s="108"/>
      <c r="D41" s="111"/>
      <c r="E41" s="183"/>
    </row>
    <row r="42" spans="2:5" ht="16.5">
      <c r="B42" s="182"/>
      <c r="C42" s="108"/>
      <c r="D42" s="111"/>
      <c r="E42" s="183"/>
    </row>
    <row r="43" spans="2:5" ht="16.5">
      <c r="B43" s="182"/>
      <c r="C43" s="108"/>
      <c r="D43" s="111"/>
      <c r="E43" s="183"/>
    </row>
    <row r="44" spans="2:5" ht="16.5">
      <c r="B44" s="182"/>
      <c r="C44" s="108"/>
      <c r="D44" s="111"/>
      <c r="E44" s="183"/>
    </row>
    <row r="45" spans="2:6" ht="16.5">
      <c r="B45" s="186"/>
      <c r="C45" s="110"/>
      <c r="D45" s="110"/>
      <c r="E45" s="187"/>
      <c r="F45" s="188"/>
    </row>
    <row r="46" spans="2:5" ht="16.5">
      <c r="B46" s="189"/>
      <c r="C46" s="111"/>
      <c r="D46" s="111"/>
      <c r="E46" s="183"/>
    </row>
    <row r="47" spans="2:5" ht="16.5">
      <c r="B47" s="189"/>
      <c r="C47" s="111"/>
      <c r="D47" s="111"/>
      <c r="E47" s="183"/>
    </row>
  </sheetData>
  <sheetProtection/>
  <mergeCells count="23">
    <mergeCell ref="K6:P6"/>
    <mergeCell ref="J6:J8"/>
    <mergeCell ref="F7:F8"/>
    <mergeCell ref="L7:L8"/>
    <mergeCell ref="M7:M8"/>
    <mergeCell ref="P7:P8"/>
    <mergeCell ref="M29:O29"/>
    <mergeCell ref="B28:J32"/>
    <mergeCell ref="E7:E8"/>
    <mergeCell ref="B6:B8"/>
    <mergeCell ref="C6:C8"/>
    <mergeCell ref="K7:K8"/>
    <mergeCell ref="D6:E6"/>
    <mergeCell ref="G7:G8"/>
    <mergeCell ref="N7:O7"/>
    <mergeCell ref="D7:D8"/>
    <mergeCell ref="A1:P1"/>
    <mergeCell ref="A3:P3"/>
    <mergeCell ref="A4:P4"/>
    <mergeCell ref="H6:H8"/>
    <mergeCell ref="F6:G6"/>
    <mergeCell ref="A6:A8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tabSelected="1" view="pageBreakPreview" zoomScale="70" zoomScaleNormal="85" zoomScaleSheetLayoutView="70" zoomScalePageLayoutView="0" workbookViewId="0" topLeftCell="AE1">
      <selection activeCell="BE14" sqref="BE14:BJ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54" t="s">
        <v>101</v>
      </c>
      <c r="R1" s="354"/>
      <c r="S1" s="354"/>
      <c r="T1" s="354"/>
      <c r="AJ1" s="354" t="s">
        <v>101</v>
      </c>
      <c r="AK1" s="354"/>
      <c r="AL1" s="354"/>
      <c r="AM1" s="5"/>
      <c r="AN1" s="5"/>
      <c r="BH1" s="354" t="s">
        <v>101</v>
      </c>
      <c r="BI1" s="354"/>
      <c r="BJ1" s="354"/>
    </row>
    <row r="2" spans="1:62" s="6" customFormat="1" ht="22.5" customHeight="1">
      <c r="A2" s="356" t="s">
        <v>141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 t="s">
        <v>141</v>
      </c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 t="s">
        <v>141</v>
      </c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57" t="s">
        <v>36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 t="s">
        <v>36</v>
      </c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 t="s">
        <v>36</v>
      </c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 t="s">
        <v>156</v>
      </c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 t="s">
        <v>156</v>
      </c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9">
        <v>1</v>
      </c>
      <c r="D9" s="359"/>
      <c r="E9" s="359"/>
      <c r="F9" s="359"/>
      <c r="G9" s="359"/>
      <c r="H9" s="359"/>
      <c r="I9" s="359">
        <v>2</v>
      </c>
      <c r="J9" s="359"/>
      <c r="K9" s="359"/>
      <c r="L9" s="359"/>
      <c r="M9" s="359"/>
      <c r="N9" s="359"/>
      <c r="O9" s="359">
        <v>3</v>
      </c>
      <c r="P9" s="359"/>
      <c r="Q9" s="359"/>
      <c r="R9" s="359"/>
      <c r="S9" s="359"/>
      <c r="T9" s="359"/>
      <c r="U9" s="359">
        <v>4</v>
      </c>
      <c r="V9" s="359"/>
      <c r="W9" s="359"/>
      <c r="X9" s="359"/>
      <c r="Y9" s="359"/>
      <c r="Z9" s="359"/>
      <c r="AA9" s="359">
        <v>5</v>
      </c>
      <c r="AB9" s="359"/>
      <c r="AC9" s="359"/>
      <c r="AD9" s="359"/>
      <c r="AE9" s="359"/>
      <c r="AF9" s="359"/>
      <c r="AG9" s="369">
        <v>6</v>
      </c>
      <c r="AH9" s="369"/>
      <c r="AI9" s="369"/>
      <c r="AJ9" s="369"/>
      <c r="AK9" s="369"/>
      <c r="AL9" s="369"/>
      <c r="AM9" s="369">
        <v>7</v>
      </c>
      <c r="AN9" s="369"/>
      <c r="AO9" s="369"/>
      <c r="AP9" s="369"/>
      <c r="AQ9" s="369"/>
      <c r="AR9" s="369"/>
      <c r="AS9" s="369">
        <v>8</v>
      </c>
      <c r="AT9" s="369"/>
      <c r="AU9" s="369"/>
      <c r="AV9" s="369"/>
      <c r="AW9" s="369"/>
      <c r="AX9" s="369"/>
      <c r="AY9" s="369">
        <v>9</v>
      </c>
      <c r="AZ9" s="369"/>
      <c r="BA9" s="369"/>
      <c r="BB9" s="369"/>
      <c r="BC9" s="369"/>
      <c r="BD9" s="369"/>
      <c r="BE9" s="370">
        <v>10</v>
      </c>
      <c r="BF9" s="370"/>
      <c r="BG9" s="370"/>
      <c r="BH9" s="370"/>
      <c r="BI9" s="370"/>
      <c r="BJ9" s="370"/>
    </row>
    <row r="10" spans="1:62" s="13" customFormat="1" ht="22.5" customHeight="1">
      <c r="A10" s="360" t="s">
        <v>0</v>
      </c>
      <c r="B10" s="363" t="s">
        <v>102</v>
      </c>
      <c r="C10" s="355" t="s">
        <v>52</v>
      </c>
      <c r="D10" s="355"/>
      <c r="E10" s="355"/>
      <c r="F10" s="355"/>
      <c r="G10" s="355"/>
      <c r="H10" s="355"/>
      <c r="I10" s="366" t="s">
        <v>53</v>
      </c>
      <c r="J10" s="367"/>
      <c r="K10" s="367"/>
      <c r="L10" s="367"/>
      <c r="M10" s="367"/>
      <c r="N10" s="368"/>
      <c r="O10" s="366" t="s">
        <v>54</v>
      </c>
      <c r="P10" s="367"/>
      <c r="Q10" s="367"/>
      <c r="R10" s="367"/>
      <c r="S10" s="367"/>
      <c r="T10" s="368"/>
      <c r="U10" s="366" t="s">
        <v>103</v>
      </c>
      <c r="V10" s="367"/>
      <c r="W10" s="367"/>
      <c r="X10" s="367"/>
      <c r="Y10" s="367"/>
      <c r="Z10" s="367"/>
      <c r="AA10" s="366" t="s">
        <v>55</v>
      </c>
      <c r="AB10" s="367"/>
      <c r="AC10" s="367"/>
      <c r="AD10" s="367"/>
      <c r="AE10" s="367"/>
      <c r="AF10" s="367"/>
      <c r="AG10" s="355" t="s">
        <v>56</v>
      </c>
      <c r="AH10" s="355"/>
      <c r="AI10" s="355"/>
      <c r="AJ10" s="355"/>
      <c r="AK10" s="355"/>
      <c r="AL10" s="355"/>
      <c r="AM10" s="355" t="s">
        <v>57</v>
      </c>
      <c r="AN10" s="355"/>
      <c r="AO10" s="355"/>
      <c r="AP10" s="355"/>
      <c r="AQ10" s="355"/>
      <c r="AR10" s="355"/>
      <c r="AS10" s="355" t="s">
        <v>58</v>
      </c>
      <c r="AT10" s="355"/>
      <c r="AU10" s="355"/>
      <c r="AV10" s="355"/>
      <c r="AW10" s="355"/>
      <c r="AX10" s="355"/>
      <c r="AY10" s="355" t="s">
        <v>59</v>
      </c>
      <c r="AZ10" s="355"/>
      <c r="BA10" s="355"/>
      <c r="BB10" s="355"/>
      <c r="BC10" s="355"/>
      <c r="BD10" s="355"/>
      <c r="BE10" s="355" t="s">
        <v>107</v>
      </c>
      <c r="BF10" s="355"/>
      <c r="BG10" s="355"/>
      <c r="BH10" s="355"/>
      <c r="BI10" s="355"/>
      <c r="BJ10" s="355"/>
    </row>
    <row r="11" spans="1:62" s="13" customFormat="1" ht="28.5" customHeight="1">
      <c r="A11" s="361"/>
      <c r="B11" s="364"/>
      <c r="C11" s="355" t="s">
        <v>60</v>
      </c>
      <c r="D11" s="355"/>
      <c r="E11" s="355"/>
      <c r="F11" s="355" t="s">
        <v>61</v>
      </c>
      <c r="G11" s="355"/>
      <c r="H11" s="355"/>
      <c r="I11" s="355" t="s">
        <v>60</v>
      </c>
      <c r="J11" s="355"/>
      <c r="K11" s="355"/>
      <c r="L11" s="355" t="s">
        <v>61</v>
      </c>
      <c r="M11" s="355"/>
      <c r="N11" s="355"/>
      <c r="O11" s="355" t="s">
        <v>60</v>
      </c>
      <c r="P11" s="355"/>
      <c r="Q11" s="355"/>
      <c r="R11" s="355" t="s">
        <v>61</v>
      </c>
      <c r="S11" s="355"/>
      <c r="T11" s="355"/>
      <c r="U11" s="355" t="s">
        <v>60</v>
      </c>
      <c r="V11" s="355"/>
      <c r="W11" s="355"/>
      <c r="X11" s="355" t="s">
        <v>61</v>
      </c>
      <c r="Y11" s="355"/>
      <c r="Z11" s="355"/>
      <c r="AA11" s="355" t="s">
        <v>60</v>
      </c>
      <c r="AB11" s="355"/>
      <c r="AC11" s="355"/>
      <c r="AD11" s="355" t="s">
        <v>61</v>
      </c>
      <c r="AE11" s="355"/>
      <c r="AF11" s="355"/>
      <c r="AG11" s="355" t="s">
        <v>60</v>
      </c>
      <c r="AH11" s="355"/>
      <c r="AI11" s="355"/>
      <c r="AJ11" s="355" t="s">
        <v>61</v>
      </c>
      <c r="AK11" s="355"/>
      <c r="AL11" s="355"/>
      <c r="AM11" s="355" t="s">
        <v>60</v>
      </c>
      <c r="AN11" s="355"/>
      <c r="AO11" s="355"/>
      <c r="AP11" s="355" t="s">
        <v>61</v>
      </c>
      <c r="AQ11" s="355"/>
      <c r="AR11" s="355"/>
      <c r="AS11" s="355" t="s">
        <v>60</v>
      </c>
      <c r="AT11" s="355"/>
      <c r="AU11" s="355"/>
      <c r="AV11" s="355" t="s">
        <v>61</v>
      </c>
      <c r="AW11" s="355"/>
      <c r="AX11" s="355"/>
      <c r="AY11" s="355" t="s">
        <v>60</v>
      </c>
      <c r="AZ11" s="355"/>
      <c r="BA11" s="355"/>
      <c r="BB11" s="355" t="s">
        <v>61</v>
      </c>
      <c r="BC11" s="355"/>
      <c r="BD11" s="355"/>
      <c r="BE11" s="355" t="s">
        <v>60</v>
      </c>
      <c r="BF11" s="355"/>
      <c r="BG11" s="355"/>
      <c r="BH11" s="355" t="s">
        <v>61</v>
      </c>
      <c r="BI11" s="355"/>
      <c r="BJ11" s="355"/>
    </row>
    <row r="12" spans="1:62" s="14" customFormat="1" ht="28.5" customHeight="1">
      <c r="A12" s="362"/>
      <c r="B12" s="365"/>
      <c r="C12" s="351" t="s">
        <v>62</v>
      </c>
      <c r="D12" s="351"/>
      <c r="E12" s="349" t="s">
        <v>63</v>
      </c>
      <c r="F12" s="351" t="s">
        <v>62</v>
      </c>
      <c r="G12" s="351"/>
      <c r="H12" s="349" t="s">
        <v>63</v>
      </c>
      <c r="I12" s="351" t="s">
        <v>62</v>
      </c>
      <c r="J12" s="351"/>
      <c r="K12" s="349" t="s">
        <v>63</v>
      </c>
      <c r="L12" s="351" t="s">
        <v>62</v>
      </c>
      <c r="M12" s="351"/>
      <c r="N12" s="349" t="s">
        <v>63</v>
      </c>
      <c r="O12" s="351" t="s">
        <v>62</v>
      </c>
      <c r="P12" s="351"/>
      <c r="Q12" s="349" t="s">
        <v>63</v>
      </c>
      <c r="R12" s="351" t="s">
        <v>62</v>
      </c>
      <c r="S12" s="351"/>
      <c r="T12" s="349" t="s">
        <v>63</v>
      </c>
      <c r="U12" s="351" t="s">
        <v>62</v>
      </c>
      <c r="V12" s="351"/>
      <c r="W12" s="349" t="s">
        <v>63</v>
      </c>
      <c r="X12" s="351" t="s">
        <v>62</v>
      </c>
      <c r="Y12" s="351"/>
      <c r="Z12" s="349" t="s">
        <v>63</v>
      </c>
      <c r="AA12" s="351" t="s">
        <v>62</v>
      </c>
      <c r="AB12" s="351"/>
      <c r="AC12" s="349" t="s">
        <v>63</v>
      </c>
      <c r="AD12" s="351" t="s">
        <v>62</v>
      </c>
      <c r="AE12" s="351"/>
      <c r="AF12" s="349" t="s">
        <v>63</v>
      </c>
      <c r="AG12" s="351" t="s">
        <v>62</v>
      </c>
      <c r="AH12" s="351"/>
      <c r="AI12" s="349" t="s">
        <v>63</v>
      </c>
      <c r="AJ12" s="351" t="s">
        <v>62</v>
      </c>
      <c r="AK12" s="351"/>
      <c r="AL12" s="349" t="s">
        <v>63</v>
      </c>
      <c r="AM12" s="351" t="s">
        <v>62</v>
      </c>
      <c r="AN12" s="351"/>
      <c r="AO12" s="349" t="s">
        <v>63</v>
      </c>
      <c r="AP12" s="351" t="s">
        <v>62</v>
      </c>
      <c r="AQ12" s="351"/>
      <c r="AR12" s="349" t="s">
        <v>63</v>
      </c>
      <c r="AS12" s="351" t="s">
        <v>62</v>
      </c>
      <c r="AT12" s="351"/>
      <c r="AU12" s="349" t="s">
        <v>63</v>
      </c>
      <c r="AV12" s="351" t="s">
        <v>62</v>
      </c>
      <c r="AW12" s="351"/>
      <c r="AX12" s="349" t="s">
        <v>63</v>
      </c>
      <c r="AY12" s="351" t="s">
        <v>62</v>
      </c>
      <c r="AZ12" s="351"/>
      <c r="BA12" s="349" t="s">
        <v>63</v>
      </c>
      <c r="BB12" s="351" t="s">
        <v>62</v>
      </c>
      <c r="BC12" s="351"/>
      <c r="BD12" s="349" t="s">
        <v>63</v>
      </c>
      <c r="BE12" s="351" t="s">
        <v>62</v>
      </c>
      <c r="BF12" s="351"/>
      <c r="BG12" s="349" t="s">
        <v>63</v>
      </c>
      <c r="BH12" s="351" t="s">
        <v>62</v>
      </c>
      <c r="BI12" s="351"/>
      <c r="BJ12" s="349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50"/>
      <c r="F13" s="17" t="s">
        <v>64</v>
      </c>
      <c r="G13" s="17" t="s">
        <v>65</v>
      </c>
      <c r="H13" s="350"/>
      <c r="I13" s="17" t="s">
        <v>64</v>
      </c>
      <c r="J13" s="17" t="s">
        <v>66</v>
      </c>
      <c r="K13" s="350"/>
      <c r="L13" s="17" t="s">
        <v>64</v>
      </c>
      <c r="M13" s="17" t="s">
        <v>66</v>
      </c>
      <c r="N13" s="350"/>
      <c r="O13" s="17" t="s">
        <v>64</v>
      </c>
      <c r="P13" s="17" t="s">
        <v>67</v>
      </c>
      <c r="Q13" s="350"/>
      <c r="R13" s="17" t="s">
        <v>64</v>
      </c>
      <c r="S13" s="17" t="s">
        <v>67</v>
      </c>
      <c r="T13" s="350"/>
      <c r="U13" s="17" t="s">
        <v>64</v>
      </c>
      <c r="V13" s="17" t="s">
        <v>104</v>
      </c>
      <c r="W13" s="350"/>
      <c r="X13" s="17" t="s">
        <v>64</v>
      </c>
      <c r="Y13" s="17" t="s">
        <v>104</v>
      </c>
      <c r="Z13" s="350"/>
      <c r="AA13" s="17" t="s">
        <v>64</v>
      </c>
      <c r="AB13" s="17" t="s">
        <v>65</v>
      </c>
      <c r="AC13" s="350"/>
      <c r="AD13" s="17" t="s">
        <v>64</v>
      </c>
      <c r="AE13" s="17" t="s">
        <v>65</v>
      </c>
      <c r="AF13" s="350"/>
      <c r="AG13" s="17" t="s">
        <v>64</v>
      </c>
      <c r="AH13" s="17" t="s">
        <v>66</v>
      </c>
      <c r="AI13" s="350"/>
      <c r="AJ13" s="17" t="s">
        <v>64</v>
      </c>
      <c r="AK13" s="17" t="s">
        <v>66</v>
      </c>
      <c r="AL13" s="350"/>
      <c r="AM13" s="17" t="s">
        <v>64</v>
      </c>
      <c r="AN13" s="17" t="s">
        <v>67</v>
      </c>
      <c r="AO13" s="350"/>
      <c r="AP13" s="17" t="s">
        <v>64</v>
      </c>
      <c r="AQ13" s="17" t="s">
        <v>67</v>
      </c>
      <c r="AR13" s="350"/>
      <c r="AS13" s="17" t="s">
        <v>64</v>
      </c>
      <c r="AT13" s="17" t="s">
        <v>67</v>
      </c>
      <c r="AU13" s="350"/>
      <c r="AV13" s="17" t="s">
        <v>64</v>
      </c>
      <c r="AW13" s="17" t="s">
        <v>67</v>
      </c>
      <c r="AX13" s="350"/>
      <c r="AY13" s="352" t="s">
        <v>64</v>
      </c>
      <c r="AZ13" s="353"/>
      <c r="BA13" s="350"/>
      <c r="BB13" s="352" t="s">
        <v>64</v>
      </c>
      <c r="BC13" s="353"/>
      <c r="BD13" s="350"/>
      <c r="BE13" s="352" t="s">
        <v>64</v>
      </c>
      <c r="BF13" s="353"/>
      <c r="BG13" s="350"/>
      <c r="BH13" s="352" t="s">
        <v>64</v>
      </c>
      <c r="BI13" s="353"/>
      <c r="BJ13" s="350"/>
    </row>
    <row r="14" spans="1:65" s="19" customFormat="1" ht="115.5" customHeight="1">
      <c r="A14" s="93"/>
      <c r="B14" s="94" t="s">
        <v>105</v>
      </c>
      <c r="C14" s="96">
        <v>1099</v>
      </c>
      <c r="D14" s="96">
        <v>468111.1484852308</v>
      </c>
      <c r="E14" s="96">
        <v>1173.7029599999996</v>
      </c>
      <c r="F14" s="96">
        <v>520</v>
      </c>
      <c r="G14" s="96">
        <v>119380.28857142858</v>
      </c>
      <c r="H14" s="96">
        <v>342.51715</v>
      </c>
      <c r="I14" s="96">
        <v>142</v>
      </c>
      <c r="J14" s="96">
        <v>88.21776804375</v>
      </c>
      <c r="K14" s="96">
        <v>60.51855</v>
      </c>
      <c r="L14" s="96">
        <v>303</v>
      </c>
      <c r="M14" s="96">
        <v>96</v>
      </c>
      <c r="N14" s="96">
        <v>90.76704000000001</v>
      </c>
      <c r="O14" s="96">
        <v>410</v>
      </c>
      <c r="P14" s="96">
        <v>1346.110285132097</v>
      </c>
      <c r="Q14" s="96">
        <v>572.07656</v>
      </c>
      <c r="R14" s="96">
        <v>343</v>
      </c>
      <c r="S14" s="96">
        <v>204.9236628192903</v>
      </c>
      <c r="T14" s="96">
        <v>407.66521</v>
      </c>
      <c r="U14" s="96">
        <v>209</v>
      </c>
      <c r="V14" s="96">
        <v>154.82495154066277</v>
      </c>
      <c r="W14" s="96">
        <v>139.015164</v>
      </c>
      <c r="X14" s="96">
        <v>166</v>
      </c>
      <c r="Y14" s="96">
        <v>83.72503087250546</v>
      </c>
      <c r="Z14" s="96">
        <v>100.59563</v>
      </c>
      <c r="AA14" s="96">
        <v>192</v>
      </c>
      <c r="AB14" s="96">
        <v>40654.621536493505</v>
      </c>
      <c r="AC14" s="96">
        <v>204.78120999999996</v>
      </c>
      <c r="AD14" s="96">
        <v>155</v>
      </c>
      <c r="AE14" s="96">
        <v>87842.60132756132</v>
      </c>
      <c r="AF14" s="96">
        <v>103.88810999999998</v>
      </c>
      <c r="AG14" s="96">
        <v>1462</v>
      </c>
      <c r="AH14" s="96">
        <v>7039.571383324922</v>
      </c>
      <c r="AI14" s="96">
        <v>1215.1484999999998</v>
      </c>
      <c r="AJ14" s="96">
        <v>605</v>
      </c>
      <c r="AK14" s="96">
        <v>643.0729754528126</v>
      </c>
      <c r="AL14" s="96">
        <v>275.25619</v>
      </c>
      <c r="AM14" s="96">
        <v>513</v>
      </c>
      <c r="AN14" s="96">
        <v>1659.0587763929846</v>
      </c>
      <c r="AO14" s="96">
        <v>1273.2784499999998</v>
      </c>
      <c r="AP14" s="96">
        <v>548</v>
      </c>
      <c r="AQ14" s="96">
        <v>1835.359560950489</v>
      </c>
      <c r="AR14" s="96">
        <v>1439.4863500000001</v>
      </c>
      <c r="AS14" s="96">
        <v>1278</v>
      </c>
      <c r="AT14" s="96">
        <v>754.6843478011333</v>
      </c>
      <c r="AU14" s="96">
        <v>2216.7619200000004</v>
      </c>
      <c r="AV14" s="96">
        <v>1017</v>
      </c>
      <c r="AW14" s="96">
        <v>522.4282750259506</v>
      </c>
      <c r="AX14" s="96">
        <v>1335.87926</v>
      </c>
      <c r="AY14" s="96">
        <v>4</v>
      </c>
      <c r="AZ14" s="96">
        <v>0</v>
      </c>
      <c r="BA14" s="96">
        <v>11.39403</v>
      </c>
      <c r="BB14" s="96">
        <v>65</v>
      </c>
      <c r="BC14" s="96">
        <v>5.25</v>
      </c>
      <c r="BD14" s="96">
        <v>245.90237</v>
      </c>
      <c r="BE14" s="348">
        <v>5309</v>
      </c>
      <c r="BF14" s="348"/>
      <c r="BG14" s="97">
        <v>6866.677343999999</v>
      </c>
      <c r="BH14" s="348">
        <v>3722</v>
      </c>
      <c r="BI14" s="348"/>
      <c r="BJ14" s="98">
        <v>4341.95731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293">
        <f>5309+3722</f>
        <v>9031</v>
      </c>
      <c r="BH16" s="92"/>
      <c r="BI16" s="92"/>
      <c r="BJ16" s="92"/>
      <c r="BK16" s="92"/>
      <c r="BL16" s="92"/>
      <c r="BM16" s="92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L30"/>
    </sheetView>
  </sheetViews>
  <sheetFormatPr defaultColWidth="9.140625" defaultRowHeight="15"/>
  <cols>
    <col min="1" max="1" width="5.57421875" style="299" customWidth="1"/>
    <col min="2" max="2" width="24.28125" style="299" customWidth="1"/>
    <col min="3" max="3" width="13.57421875" style="299" customWidth="1"/>
    <col min="4" max="4" width="12.8515625" style="299" customWidth="1"/>
    <col min="5" max="5" width="12.57421875" style="194" customWidth="1"/>
    <col min="6" max="6" width="13.7109375" style="194" customWidth="1"/>
    <col min="7" max="7" width="9.7109375" style="299" customWidth="1"/>
    <col min="8" max="8" width="13.57421875" style="299" customWidth="1"/>
    <col min="9" max="9" width="9.7109375" style="299" customWidth="1"/>
    <col min="10" max="10" width="12.421875" style="299" customWidth="1"/>
    <col min="11" max="11" width="9.7109375" style="299" customWidth="1"/>
    <col min="12" max="12" width="11.00390625" style="299" customWidth="1"/>
    <col min="13" max="13" width="9.140625" style="299" customWidth="1"/>
    <col min="14" max="14" width="10.00390625" style="299" bestFit="1" customWidth="1"/>
    <col min="15" max="16384" width="9.140625" style="299" customWidth="1"/>
  </cols>
  <sheetData>
    <row r="1" spans="11:12" ht="6" customHeight="1">
      <c r="K1" s="372" t="s">
        <v>71</v>
      </c>
      <c r="L1" s="372"/>
    </row>
    <row r="2" spans="1:12" ht="20.25">
      <c r="A2" s="373" t="s">
        <v>123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0.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8.75">
      <c r="A4" s="343" t="s">
        <v>36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ht="11.25" customHeight="1"/>
    <row r="6" spans="1:12" ht="18.75">
      <c r="A6" s="374" t="s">
        <v>152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</row>
    <row r="7" spans="3:12" ht="26.25" customHeight="1"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11" customHeight="1">
      <c r="A8" s="371" t="s">
        <v>0</v>
      </c>
      <c r="B8" s="371" t="s">
        <v>38</v>
      </c>
      <c r="C8" s="371" t="s">
        <v>68</v>
      </c>
      <c r="D8" s="371"/>
      <c r="E8" s="371" t="s">
        <v>72</v>
      </c>
      <c r="F8" s="371"/>
      <c r="G8" s="371" t="s">
        <v>73</v>
      </c>
      <c r="H8" s="371"/>
      <c r="I8" s="371" t="s">
        <v>74</v>
      </c>
      <c r="J8" s="371"/>
      <c r="K8" s="371" t="s">
        <v>75</v>
      </c>
      <c r="L8" s="371"/>
    </row>
    <row r="9" spans="1:12" ht="20.25" customHeight="1">
      <c r="A9" s="371"/>
      <c r="B9" s="371"/>
      <c r="C9" s="302" t="s">
        <v>69</v>
      </c>
      <c r="D9" s="302" t="s">
        <v>70</v>
      </c>
      <c r="E9" s="302" t="s">
        <v>69</v>
      </c>
      <c r="F9" s="302" t="s">
        <v>70</v>
      </c>
      <c r="G9" s="302" t="s">
        <v>69</v>
      </c>
      <c r="H9" s="302" t="s">
        <v>70</v>
      </c>
      <c r="I9" s="302" t="s">
        <v>69</v>
      </c>
      <c r="J9" s="302" t="s">
        <v>70</v>
      </c>
      <c r="K9" s="302" t="s">
        <v>69</v>
      </c>
      <c r="L9" s="302" t="s">
        <v>98</v>
      </c>
    </row>
    <row r="10" spans="1:12" ht="15">
      <c r="A10" s="303">
        <v>1</v>
      </c>
      <c r="B10" s="303">
        <v>2</v>
      </c>
      <c r="C10" s="303">
        <v>3</v>
      </c>
      <c r="D10" s="303">
        <v>4</v>
      </c>
      <c r="E10" s="303">
        <v>5</v>
      </c>
      <c r="F10" s="303">
        <v>6</v>
      </c>
      <c r="G10" s="303">
        <v>7</v>
      </c>
      <c r="H10" s="303">
        <v>8</v>
      </c>
      <c r="I10" s="303">
        <v>9</v>
      </c>
      <c r="J10" s="303">
        <v>10</v>
      </c>
      <c r="K10" s="303">
        <v>11</v>
      </c>
      <c r="L10" s="303">
        <v>12</v>
      </c>
    </row>
    <row r="11" spans="1:23" s="246" customFormat="1" ht="18.75">
      <c r="A11" s="232">
        <v>1</v>
      </c>
      <c r="B11" s="232" t="s">
        <v>22</v>
      </c>
      <c r="C11" s="233">
        <v>2422</v>
      </c>
      <c r="D11" s="233">
        <v>0</v>
      </c>
      <c r="E11" s="233">
        <v>3</v>
      </c>
      <c r="F11" s="233">
        <v>19</v>
      </c>
      <c r="G11" s="233">
        <v>347</v>
      </c>
      <c r="H11" s="233">
        <v>2</v>
      </c>
      <c r="I11" s="233">
        <v>0</v>
      </c>
      <c r="J11" s="233">
        <v>10</v>
      </c>
      <c r="K11" s="233">
        <v>0</v>
      </c>
      <c r="L11" s="233">
        <v>0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s="246" customFormat="1" ht="18.75">
      <c r="A12" s="232">
        <v>2</v>
      </c>
      <c r="B12" s="232" t="s">
        <v>23</v>
      </c>
      <c r="C12" s="233">
        <v>765</v>
      </c>
      <c r="D12" s="233">
        <v>0</v>
      </c>
      <c r="E12" s="233">
        <v>4</v>
      </c>
      <c r="F12" s="233">
        <v>0</v>
      </c>
      <c r="G12" s="233">
        <v>745</v>
      </c>
      <c r="H12" s="233">
        <v>0</v>
      </c>
      <c r="I12" s="233">
        <v>1</v>
      </c>
      <c r="J12" s="233">
        <v>0</v>
      </c>
      <c r="K12" s="233">
        <v>8</v>
      </c>
      <c r="L12" s="233">
        <v>0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23" s="306" customFormat="1" ht="18.75" customHeight="1">
      <c r="A13" s="232">
        <v>3</v>
      </c>
      <c r="B13" s="232" t="s">
        <v>24</v>
      </c>
      <c r="C13" s="304">
        <v>2230.3832199546487</v>
      </c>
      <c r="D13" s="304">
        <v>8921.532879818595</v>
      </c>
      <c r="E13" s="304">
        <v>731</v>
      </c>
      <c r="F13" s="304">
        <v>9</v>
      </c>
      <c r="G13" s="304">
        <v>0</v>
      </c>
      <c r="H13" s="304">
        <v>0.1</v>
      </c>
      <c r="I13" s="304">
        <v>0</v>
      </c>
      <c r="J13" s="304">
        <v>1</v>
      </c>
      <c r="K13" s="304">
        <v>12</v>
      </c>
      <c r="L13" s="304">
        <v>12</v>
      </c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</row>
    <row r="14" spans="1:23" s="246" customFormat="1" ht="18.75">
      <c r="A14" s="232">
        <v>4</v>
      </c>
      <c r="B14" s="232" t="s">
        <v>25</v>
      </c>
      <c r="C14" s="233">
        <v>1035</v>
      </c>
      <c r="D14" s="233">
        <v>924</v>
      </c>
      <c r="E14" s="233">
        <v>8</v>
      </c>
      <c r="F14" s="233">
        <v>3</v>
      </c>
      <c r="G14" s="233">
        <v>0</v>
      </c>
      <c r="H14" s="233">
        <v>185</v>
      </c>
      <c r="I14" s="233">
        <v>2</v>
      </c>
      <c r="J14" s="233">
        <v>1</v>
      </c>
      <c r="K14" s="233">
        <v>0</v>
      </c>
      <c r="L14" s="233">
        <v>0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</row>
    <row r="15" spans="1:23" s="246" customFormat="1" ht="18.75">
      <c r="A15" s="232">
        <v>5</v>
      </c>
      <c r="B15" s="232" t="s">
        <v>26</v>
      </c>
      <c r="C15" s="233">
        <v>311</v>
      </c>
      <c r="D15" s="233">
        <v>126</v>
      </c>
      <c r="E15" s="233">
        <v>17</v>
      </c>
      <c r="F15" s="233">
        <v>5</v>
      </c>
      <c r="G15" s="233">
        <v>0</v>
      </c>
      <c r="H15" s="233">
        <v>9</v>
      </c>
      <c r="I15" s="233">
        <v>34</v>
      </c>
      <c r="J15" s="233">
        <v>33</v>
      </c>
      <c r="K15" s="233">
        <v>0</v>
      </c>
      <c r="L15" s="233">
        <v>0</v>
      </c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3" s="246" customFormat="1" ht="18.75">
      <c r="A16" s="232">
        <v>6</v>
      </c>
      <c r="B16" s="232" t="s">
        <v>27</v>
      </c>
      <c r="C16" s="233">
        <v>2097</v>
      </c>
      <c r="D16" s="233">
        <v>2617</v>
      </c>
      <c r="E16" s="233">
        <v>3</v>
      </c>
      <c r="F16" s="233">
        <v>10</v>
      </c>
      <c r="G16" s="233">
        <v>0</v>
      </c>
      <c r="H16" s="233">
        <v>8</v>
      </c>
      <c r="I16" s="233">
        <v>10</v>
      </c>
      <c r="J16" s="233">
        <v>1</v>
      </c>
      <c r="K16" s="233">
        <v>0</v>
      </c>
      <c r="L16" s="233"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</row>
    <row r="17" spans="1:23" s="246" customFormat="1" ht="18.75">
      <c r="A17" s="232">
        <v>7</v>
      </c>
      <c r="B17" s="232" t="s">
        <v>28</v>
      </c>
      <c r="C17" s="233">
        <v>1575</v>
      </c>
      <c r="D17" s="233">
        <v>1120</v>
      </c>
      <c r="E17" s="233">
        <v>15</v>
      </c>
      <c r="F17" s="233">
        <v>5</v>
      </c>
      <c r="G17" s="233">
        <v>54</v>
      </c>
      <c r="H17" s="233">
        <v>91</v>
      </c>
      <c r="I17" s="233">
        <v>0</v>
      </c>
      <c r="J17" s="233">
        <v>10</v>
      </c>
      <c r="K17" s="233">
        <v>0</v>
      </c>
      <c r="L17" s="233">
        <v>0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3" s="246" customFormat="1" ht="18.75">
      <c r="A18" s="232">
        <v>8</v>
      </c>
      <c r="B18" s="232" t="s">
        <v>29</v>
      </c>
      <c r="C18" s="233">
        <v>0</v>
      </c>
      <c r="D18" s="233">
        <v>207</v>
      </c>
      <c r="E18" s="233">
        <v>0</v>
      </c>
      <c r="F18" s="233">
        <v>0</v>
      </c>
      <c r="G18" s="233">
        <v>401</v>
      </c>
      <c r="H18" s="233">
        <v>41</v>
      </c>
      <c r="I18" s="233">
        <v>0</v>
      </c>
      <c r="J18" s="233">
        <v>0</v>
      </c>
      <c r="K18" s="233">
        <v>0</v>
      </c>
      <c r="L18" s="233">
        <v>0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</row>
    <row r="19" spans="1:23" s="246" customFormat="1" ht="18.75">
      <c r="A19" s="232">
        <v>9</v>
      </c>
      <c r="B19" s="232" t="s">
        <v>30</v>
      </c>
      <c r="C19" s="233">
        <v>0</v>
      </c>
      <c r="D19" s="233">
        <v>290</v>
      </c>
      <c r="E19" s="233">
        <v>0</v>
      </c>
      <c r="F19" s="233">
        <v>5</v>
      </c>
      <c r="G19" s="233">
        <v>0</v>
      </c>
      <c r="H19" s="233">
        <v>31</v>
      </c>
      <c r="I19" s="233">
        <v>0</v>
      </c>
      <c r="J19" s="233">
        <v>5</v>
      </c>
      <c r="K19" s="233">
        <v>1</v>
      </c>
      <c r="L19" s="233">
        <v>1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</row>
    <row r="20" spans="1:23" s="246" customFormat="1" ht="18.75">
      <c r="A20" s="232">
        <v>10</v>
      </c>
      <c r="B20" s="232" t="s">
        <v>31</v>
      </c>
      <c r="C20" s="233">
        <v>0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2</v>
      </c>
      <c r="L20" s="233">
        <v>0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</row>
    <row r="21" spans="1:23" s="246" customFormat="1" ht="18.75">
      <c r="A21" s="232">
        <v>11</v>
      </c>
      <c r="B21" s="232" t="s">
        <v>32</v>
      </c>
      <c r="C21" s="233">
        <v>3117</v>
      </c>
      <c r="D21" s="233">
        <v>272</v>
      </c>
      <c r="E21" s="233">
        <v>9</v>
      </c>
      <c r="F21" s="233">
        <v>1</v>
      </c>
      <c r="G21" s="233">
        <v>163</v>
      </c>
      <c r="H21" s="233">
        <v>96</v>
      </c>
      <c r="I21" s="233">
        <v>5</v>
      </c>
      <c r="J21" s="233">
        <v>0</v>
      </c>
      <c r="K21" s="233">
        <v>0</v>
      </c>
      <c r="L21" s="233">
        <v>4</v>
      </c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23" s="246" customFormat="1" ht="24" customHeight="1">
      <c r="A22" s="232">
        <v>12</v>
      </c>
      <c r="B22" s="232" t="s">
        <v>33</v>
      </c>
      <c r="C22" s="233">
        <v>13940</v>
      </c>
      <c r="D22" s="233">
        <v>1247</v>
      </c>
      <c r="E22" s="233">
        <v>2</v>
      </c>
      <c r="F22" s="233">
        <v>10</v>
      </c>
      <c r="G22" s="233">
        <v>1266</v>
      </c>
      <c r="H22" s="233">
        <v>65</v>
      </c>
      <c r="I22" s="233">
        <v>0</v>
      </c>
      <c r="J22" s="233">
        <v>0</v>
      </c>
      <c r="K22" s="233">
        <v>0</v>
      </c>
      <c r="L22" s="233">
        <v>0</v>
      </c>
      <c r="M22" s="245"/>
      <c r="N22" s="245"/>
      <c r="O22" s="245"/>
      <c r="P22" s="245" t="s">
        <v>143</v>
      </c>
      <c r="Q22" s="245"/>
      <c r="R22" s="245"/>
      <c r="S22" s="245"/>
      <c r="T22" s="245"/>
      <c r="U22" s="245"/>
      <c r="V22" s="245"/>
      <c r="W22" s="245"/>
    </row>
    <row r="23" spans="1:23" s="246" customFormat="1" ht="18.75">
      <c r="A23" s="232">
        <v>13</v>
      </c>
      <c r="B23" s="232" t="s">
        <v>34</v>
      </c>
      <c r="C23" s="233">
        <v>0</v>
      </c>
      <c r="D23" s="233">
        <v>3504</v>
      </c>
      <c r="E23" s="233">
        <v>8</v>
      </c>
      <c r="F23" s="233">
        <v>6</v>
      </c>
      <c r="G23" s="233">
        <v>12</v>
      </c>
      <c r="H23" s="233">
        <v>16</v>
      </c>
      <c r="I23" s="233">
        <v>0</v>
      </c>
      <c r="J23" s="233">
        <v>0</v>
      </c>
      <c r="K23" s="233">
        <v>2</v>
      </c>
      <c r="L23" s="233">
        <v>7</v>
      </c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</row>
    <row r="24" spans="1:20" s="307" customFormat="1" ht="18.75">
      <c r="A24" s="234"/>
      <c r="B24" s="235" t="s">
        <v>5</v>
      </c>
      <c r="C24" s="236">
        <f>SUM(C11:C23)</f>
        <v>27492.38321995465</v>
      </c>
      <c r="D24" s="236">
        <f aca="true" t="shared" si="0" ref="D24:L24">SUM(D11:D23)</f>
        <v>19228.532879818595</v>
      </c>
      <c r="E24" s="236">
        <f t="shared" si="0"/>
        <v>800</v>
      </c>
      <c r="F24" s="236">
        <f t="shared" si="0"/>
        <v>73</v>
      </c>
      <c r="G24" s="236">
        <f t="shared" si="0"/>
        <v>2988</v>
      </c>
      <c r="H24" s="236">
        <f t="shared" si="0"/>
        <v>544.1</v>
      </c>
      <c r="I24" s="236">
        <f t="shared" si="0"/>
        <v>52</v>
      </c>
      <c r="J24" s="236">
        <f t="shared" si="0"/>
        <v>61</v>
      </c>
      <c r="K24" s="236">
        <f t="shared" si="0"/>
        <v>25</v>
      </c>
      <c r="L24" s="236">
        <f t="shared" si="0"/>
        <v>24</v>
      </c>
      <c r="O24" s="308"/>
      <c r="S24" s="308"/>
      <c r="T24" s="308"/>
    </row>
    <row r="25" s="194" customFormat="1" ht="32.25" customHeight="1">
      <c r="T25" s="301"/>
    </row>
    <row r="26" spans="3:10" ht="18">
      <c r="C26" s="309"/>
      <c r="D26" s="309"/>
      <c r="E26" s="301"/>
      <c r="F26" s="301"/>
      <c r="G26" s="309"/>
      <c r="H26" s="309"/>
      <c r="I26" s="310"/>
      <c r="J26" s="311" t="s">
        <v>120</v>
      </c>
    </row>
    <row r="27" spans="4:10" ht="18">
      <c r="D27" s="298"/>
      <c r="J27" s="312" t="s">
        <v>121</v>
      </c>
    </row>
    <row r="28" ht="18">
      <c r="J28" s="312" t="s">
        <v>106</v>
      </c>
    </row>
    <row r="29" ht="18">
      <c r="J29" s="313" t="s">
        <v>122</v>
      </c>
    </row>
    <row r="30" ht="18">
      <c r="J30" s="312" t="s">
        <v>108</v>
      </c>
    </row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S5" sqref="S5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83" t="s">
        <v>123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4" t="s">
        <v>153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81" t="s">
        <v>76</v>
      </c>
      <c r="B7" s="381" t="s">
        <v>102</v>
      </c>
      <c r="C7" s="380" t="s">
        <v>77</v>
      </c>
      <c r="D7" s="380"/>
      <c r="E7" s="381" t="s">
        <v>78</v>
      </c>
      <c r="F7" s="381"/>
      <c r="G7" s="381"/>
      <c r="H7" s="381"/>
      <c r="I7" s="381"/>
      <c r="J7" s="381"/>
      <c r="K7" s="381"/>
      <c r="L7" s="381"/>
      <c r="M7" s="385" t="s">
        <v>92</v>
      </c>
      <c r="N7" s="385"/>
      <c r="O7" s="385"/>
      <c r="P7" s="385"/>
      <c r="Q7" s="385"/>
      <c r="R7" s="385"/>
      <c r="S7" s="385"/>
      <c r="T7" s="385"/>
      <c r="U7" s="385"/>
      <c r="V7" s="385"/>
    </row>
    <row r="8" spans="1:22" s="32" customFormat="1" ht="84.75" customHeight="1">
      <c r="A8" s="381"/>
      <c r="B8" s="381"/>
      <c r="C8" s="380" t="s">
        <v>81</v>
      </c>
      <c r="D8" s="380"/>
      <c r="E8" s="381" t="s">
        <v>82</v>
      </c>
      <c r="F8" s="381"/>
      <c r="G8" s="381" t="s">
        <v>83</v>
      </c>
      <c r="H8" s="381"/>
      <c r="I8" s="381" t="s">
        <v>84</v>
      </c>
      <c r="J8" s="381"/>
      <c r="K8" s="381" t="s">
        <v>85</v>
      </c>
      <c r="L8" s="381"/>
      <c r="M8" s="382" t="s">
        <v>93</v>
      </c>
      <c r="N8" s="382"/>
      <c r="O8" s="382" t="s">
        <v>94</v>
      </c>
      <c r="P8" s="382"/>
      <c r="Q8" s="382" t="s">
        <v>95</v>
      </c>
      <c r="R8" s="382"/>
      <c r="S8" s="382" t="s">
        <v>96</v>
      </c>
      <c r="T8" s="382"/>
      <c r="U8" s="382" t="s">
        <v>97</v>
      </c>
      <c r="V8" s="385"/>
    </row>
    <row r="9" spans="1:22" s="36" customFormat="1" ht="30.75" customHeight="1">
      <c r="A9" s="381"/>
      <c r="B9" s="381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8" t="s">
        <v>120</v>
      </c>
      <c r="R12" s="378"/>
      <c r="S12" s="378"/>
      <c r="T12" s="378"/>
      <c r="U12" s="378"/>
      <c r="V12" s="89"/>
    </row>
    <row r="13" spans="9:21" ht="21" customHeight="1">
      <c r="I13" s="377"/>
      <c r="J13" s="377"/>
      <c r="K13" s="377"/>
      <c r="Q13" s="379" t="s">
        <v>121</v>
      </c>
      <c r="R13" s="379"/>
      <c r="S13" s="379"/>
      <c r="T13" s="379"/>
      <c r="U13" s="379"/>
    </row>
    <row r="14" spans="17:21" ht="18.75" customHeight="1">
      <c r="Q14" s="376" t="s">
        <v>106</v>
      </c>
      <c r="R14" s="376"/>
      <c r="S14" s="376"/>
      <c r="T14" s="376"/>
      <c r="U14" s="376"/>
    </row>
    <row r="15" spans="17:21" ht="21" customHeight="1">
      <c r="Q15" s="375" t="s">
        <v>122</v>
      </c>
      <c r="R15" s="375"/>
      <c r="S15" s="375"/>
      <c r="T15" s="375"/>
      <c r="U15" s="375"/>
    </row>
    <row r="16" spans="17:21" ht="20.25" customHeight="1">
      <c r="Q16" s="376" t="s">
        <v>108</v>
      </c>
      <c r="R16" s="376"/>
      <c r="S16" s="376"/>
      <c r="T16" s="376"/>
      <c r="U16" s="376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Q15" sqref="Q15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6"/>
      <c r="L1" s="386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83" t="s">
        <v>123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4" t="s">
        <v>154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400"/>
      <c r="Y5" s="400"/>
      <c r="Z5" s="400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9" t="s">
        <v>76</v>
      </c>
      <c r="B7" s="392" t="s">
        <v>102</v>
      </c>
      <c r="C7" s="403" t="s">
        <v>77</v>
      </c>
      <c r="D7" s="404"/>
      <c r="E7" s="401" t="s">
        <v>78</v>
      </c>
      <c r="F7" s="401"/>
      <c r="G7" s="401"/>
      <c r="H7" s="401"/>
      <c r="I7" s="401"/>
      <c r="J7" s="401"/>
      <c r="K7" s="401"/>
      <c r="L7" s="401"/>
      <c r="M7" s="398" t="s">
        <v>92</v>
      </c>
      <c r="N7" s="399"/>
      <c r="O7" s="399"/>
      <c r="P7" s="399"/>
      <c r="Q7" s="399"/>
      <c r="R7" s="399"/>
      <c r="S7" s="399"/>
      <c r="T7" s="399"/>
      <c r="U7" s="399"/>
      <c r="V7" s="399"/>
      <c r="W7" s="388" t="s">
        <v>79</v>
      </c>
      <c r="X7" s="388"/>
      <c r="Y7" s="388" t="s">
        <v>80</v>
      </c>
      <c r="Z7" s="388"/>
    </row>
    <row r="8" spans="1:26" s="36" customFormat="1" ht="47.25" customHeight="1">
      <c r="A8" s="390"/>
      <c r="B8" s="393"/>
      <c r="C8" s="396" t="s">
        <v>81</v>
      </c>
      <c r="D8" s="397"/>
      <c r="E8" s="387" t="s">
        <v>82</v>
      </c>
      <c r="F8" s="387"/>
      <c r="G8" s="387" t="s">
        <v>83</v>
      </c>
      <c r="H8" s="387"/>
      <c r="I8" s="387" t="s">
        <v>84</v>
      </c>
      <c r="J8" s="387"/>
      <c r="K8" s="387" t="s">
        <v>85</v>
      </c>
      <c r="L8" s="387"/>
      <c r="M8" s="395" t="s">
        <v>93</v>
      </c>
      <c r="N8" s="395"/>
      <c r="O8" s="395" t="s">
        <v>94</v>
      </c>
      <c r="P8" s="395"/>
      <c r="Q8" s="395" t="s">
        <v>95</v>
      </c>
      <c r="R8" s="395"/>
      <c r="S8" s="395" t="s">
        <v>96</v>
      </c>
      <c r="T8" s="395"/>
      <c r="U8" s="395" t="s">
        <v>97</v>
      </c>
      <c r="V8" s="402"/>
      <c r="W8" s="388"/>
      <c r="X8" s="388"/>
      <c r="Y8" s="388"/>
      <c r="Z8" s="388"/>
    </row>
    <row r="9" spans="1:26" s="36" customFormat="1" ht="60.75" customHeight="1">
      <c r="A9" s="391"/>
      <c r="B9" s="394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C7:D7"/>
    <mergeCell ref="Q8:R8"/>
    <mergeCell ref="M7:V7"/>
    <mergeCell ref="E8:F8"/>
    <mergeCell ref="X5:Z5"/>
    <mergeCell ref="E7:L7"/>
    <mergeCell ref="G8:H8"/>
    <mergeCell ref="U8:V8"/>
    <mergeCell ref="M8:N8"/>
    <mergeCell ref="S8:T8"/>
    <mergeCell ref="I8:J8"/>
    <mergeCell ref="K1:L1"/>
    <mergeCell ref="K8:L8"/>
    <mergeCell ref="A2:Z2"/>
    <mergeCell ref="W7:X8"/>
    <mergeCell ref="A4:Z4"/>
    <mergeCell ref="A7:A9"/>
    <mergeCell ref="B7:B9"/>
    <mergeCell ref="O8:P8"/>
    <mergeCell ref="Y7:Z8"/>
    <mergeCell ref="C8:D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A1" sqref="A1:H20"/>
    </sheetView>
  </sheetViews>
  <sheetFormatPr defaultColWidth="9.140625" defaultRowHeight="15"/>
  <cols>
    <col min="1" max="1" width="4.28125" style="196" customWidth="1"/>
    <col min="2" max="2" width="17.140625" style="196" customWidth="1"/>
    <col min="3" max="3" width="9.57421875" style="197" bestFit="1" customWidth="1"/>
    <col min="4" max="4" width="8.421875" style="197" customWidth="1"/>
    <col min="5" max="5" width="16.00390625" style="197" customWidth="1"/>
    <col min="6" max="6" width="10.7109375" style="197" bestFit="1" customWidth="1"/>
    <col min="7" max="7" width="9.140625" style="197" bestFit="1" customWidth="1"/>
    <col min="8" max="8" width="20.28125" style="197" bestFit="1" customWidth="1"/>
    <col min="9" max="11" width="13.8515625" style="197" customWidth="1"/>
    <col min="12" max="12" width="9.8515625" style="231" customWidth="1"/>
    <col min="13" max="13" width="11.421875" style="193" customWidth="1"/>
    <col min="14" max="14" width="10.57421875" style="193" customWidth="1"/>
    <col min="15" max="15" width="12.57421875" style="194" customWidth="1"/>
    <col min="16" max="43" width="9.140625" style="195" customWidth="1"/>
    <col min="44" max="16384" width="9.140625" style="196" customWidth="1"/>
  </cols>
  <sheetData>
    <row r="1" spans="1:12" ht="27.75" customHeight="1">
      <c r="A1" s="408" t="s">
        <v>133</v>
      </c>
      <c r="B1" s="408"/>
      <c r="C1" s="408"/>
      <c r="D1" s="408"/>
      <c r="E1" s="408"/>
      <c r="F1" s="408"/>
      <c r="G1" s="408"/>
      <c r="H1" s="408"/>
      <c r="I1" s="191"/>
      <c r="J1" s="191"/>
      <c r="K1" s="191"/>
      <c r="L1" s="192"/>
    </row>
    <row r="2" spans="5:12" ht="15.75">
      <c r="E2" s="409" t="s">
        <v>155</v>
      </c>
      <c r="F2" s="410"/>
      <c r="G2" s="410"/>
      <c r="H2" s="410"/>
      <c r="I2" s="198"/>
      <c r="J2" s="198"/>
      <c r="K2" s="198"/>
      <c r="L2" s="198"/>
    </row>
    <row r="3" spans="1:12" ht="63" customHeight="1">
      <c r="A3" s="406" t="s">
        <v>0</v>
      </c>
      <c r="B3" s="406" t="s">
        <v>126</v>
      </c>
      <c r="C3" s="407" t="s">
        <v>127</v>
      </c>
      <c r="D3" s="407"/>
      <c r="E3" s="407" t="s">
        <v>128</v>
      </c>
      <c r="F3" s="407" t="s">
        <v>129</v>
      </c>
      <c r="G3" s="407"/>
      <c r="H3" s="407" t="s">
        <v>130</v>
      </c>
      <c r="I3" s="199"/>
      <c r="J3" s="199"/>
      <c r="K3" s="199"/>
      <c r="L3" s="199"/>
    </row>
    <row r="4" spans="1:15" ht="79.5" customHeight="1">
      <c r="A4" s="406"/>
      <c r="B4" s="406"/>
      <c r="C4" s="200" t="s">
        <v>131</v>
      </c>
      <c r="D4" s="200" t="s">
        <v>132</v>
      </c>
      <c r="E4" s="407"/>
      <c r="F4" s="200" t="s">
        <v>131</v>
      </c>
      <c r="G4" s="200" t="s">
        <v>132</v>
      </c>
      <c r="H4" s="407"/>
      <c r="I4" s="199"/>
      <c r="J4" s="199"/>
      <c r="K4" s="199"/>
      <c r="L4" s="199"/>
      <c r="O4" s="201">
        <v>0</v>
      </c>
    </row>
    <row r="5" spans="1:43" s="205" customFormat="1" ht="15">
      <c r="A5" s="202">
        <v>1</v>
      </c>
      <c r="B5" s="202">
        <v>2</v>
      </c>
      <c r="C5" s="202">
        <v>5</v>
      </c>
      <c r="D5" s="202">
        <v>6</v>
      </c>
      <c r="E5" s="202">
        <v>7</v>
      </c>
      <c r="F5" s="202">
        <v>8</v>
      </c>
      <c r="G5" s="202">
        <v>9</v>
      </c>
      <c r="H5" s="202">
        <v>10</v>
      </c>
      <c r="I5" s="203"/>
      <c r="J5" s="203"/>
      <c r="K5" s="203"/>
      <c r="L5" s="203"/>
      <c r="M5" s="204"/>
      <c r="N5" s="205" t="s">
        <v>140</v>
      </c>
      <c r="O5" s="206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</row>
    <row r="6" spans="1:44" s="217" customFormat="1" ht="18.75">
      <c r="A6" s="208">
        <v>1</v>
      </c>
      <c r="B6" s="209" t="s">
        <v>22</v>
      </c>
      <c r="C6" s="294">
        <v>5902</v>
      </c>
      <c r="D6" s="294">
        <v>0</v>
      </c>
      <c r="E6" s="295">
        <v>40.640280000000004</v>
      </c>
      <c r="F6" s="296">
        <v>39269</v>
      </c>
      <c r="G6" s="296">
        <v>320</v>
      </c>
      <c r="H6" s="295">
        <f>330.267+0.5+23.85</f>
        <v>354.617</v>
      </c>
      <c r="I6" s="210"/>
      <c r="J6" s="210"/>
      <c r="K6" s="210"/>
      <c r="L6" s="211"/>
      <c r="M6" s="212">
        <f aca="true" t="shared" si="0" ref="M6:M20">E6+H6</f>
        <v>395.25728000000004</v>
      </c>
      <c r="N6" s="213">
        <f>'Part-II'!K10</f>
        <v>395.2601801</v>
      </c>
      <c r="O6" s="214">
        <f>M6-N6</f>
        <v>-0.0029000999999766464</v>
      </c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6"/>
    </row>
    <row r="7" spans="1:43" s="219" customFormat="1" ht="15.75" customHeight="1">
      <c r="A7" s="208">
        <v>2</v>
      </c>
      <c r="B7" s="209" t="s">
        <v>23</v>
      </c>
      <c r="C7" s="296">
        <v>7895</v>
      </c>
      <c r="D7" s="296">
        <v>36</v>
      </c>
      <c r="E7" s="297">
        <f>6022275/100000</f>
        <v>60.22275</v>
      </c>
      <c r="F7" s="296">
        <v>26404</v>
      </c>
      <c r="G7" s="296">
        <v>45</v>
      </c>
      <c r="H7" s="297">
        <f>49585225/100000+41.36</f>
        <v>537.21225</v>
      </c>
      <c r="I7" s="218"/>
      <c r="J7" s="218"/>
      <c r="K7" s="218"/>
      <c r="L7" s="211"/>
      <c r="M7" s="212">
        <f t="shared" si="0"/>
        <v>597.4350000000001</v>
      </c>
      <c r="N7" s="213">
        <f>'Part-II'!K11</f>
        <v>597.4321648</v>
      </c>
      <c r="O7" s="214">
        <f aca="true" t="shared" si="1" ref="O7:O20">M7-N7</f>
        <v>0.0028352000000495536</v>
      </c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</row>
    <row r="8" spans="1:43" s="219" customFormat="1" ht="18.75">
      <c r="A8" s="208">
        <v>3</v>
      </c>
      <c r="B8" s="209" t="s">
        <v>24</v>
      </c>
      <c r="C8" s="294">
        <v>920</v>
      </c>
      <c r="D8" s="294">
        <v>752</v>
      </c>
      <c r="E8" s="298">
        <v>275.46000000000004</v>
      </c>
      <c r="F8" s="294">
        <v>8751</v>
      </c>
      <c r="G8" s="294">
        <v>3637</v>
      </c>
      <c r="H8" s="295">
        <f>609.78+47.84</f>
        <v>657.62</v>
      </c>
      <c r="I8" s="210"/>
      <c r="J8" s="210"/>
      <c r="K8" s="210"/>
      <c r="L8" s="211"/>
      <c r="M8" s="212">
        <f t="shared" si="0"/>
        <v>933.08</v>
      </c>
      <c r="N8" s="213">
        <f>'Part-II'!K12</f>
        <v>933.0792493</v>
      </c>
      <c r="O8" s="214">
        <f t="shared" si="1"/>
        <v>0.0007507000000259723</v>
      </c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</row>
    <row r="9" spans="1:44" s="217" customFormat="1" ht="18.75">
      <c r="A9" s="208">
        <v>4</v>
      </c>
      <c r="B9" s="209" t="s">
        <v>25</v>
      </c>
      <c r="C9" s="296">
        <v>22510</v>
      </c>
      <c r="D9" s="296">
        <v>92</v>
      </c>
      <c r="E9" s="297">
        <v>503.62901999999997</v>
      </c>
      <c r="F9" s="296">
        <v>33684</v>
      </c>
      <c r="G9" s="296">
        <v>579</v>
      </c>
      <c r="H9" s="297">
        <f>792.69521+72.77</f>
        <v>865.46521</v>
      </c>
      <c r="I9" s="218"/>
      <c r="J9" s="218"/>
      <c r="K9" s="218"/>
      <c r="L9" s="211"/>
      <c r="M9" s="212">
        <f t="shared" si="0"/>
        <v>1369.09423</v>
      </c>
      <c r="N9" s="214">
        <f>'Part-II'!K13</f>
        <v>1369.090381</v>
      </c>
      <c r="O9" s="214">
        <f t="shared" si="1"/>
        <v>0.0038489999999455904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6"/>
    </row>
    <row r="10" spans="1:43" s="219" customFormat="1" ht="18.75">
      <c r="A10" s="208">
        <v>5</v>
      </c>
      <c r="B10" s="209" t="s">
        <v>26</v>
      </c>
      <c r="C10" s="294">
        <v>19315</v>
      </c>
      <c r="D10" s="294">
        <v>345</v>
      </c>
      <c r="E10" s="318">
        <v>302.4920599999999</v>
      </c>
      <c r="F10" s="294">
        <v>36813</v>
      </c>
      <c r="G10" s="294">
        <v>3086</v>
      </c>
      <c r="H10" s="297">
        <f>591.66502+53.06</f>
        <v>644.7250200000001</v>
      </c>
      <c r="I10" s="220"/>
      <c r="J10" s="220"/>
      <c r="K10" s="220"/>
      <c r="L10" s="211"/>
      <c r="M10" s="212">
        <f t="shared" si="0"/>
        <v>947.21708</v>
      </c>
      <c r="N10" s="214">
        <f>'Part-II'!K14</f>
        <v>947.2152488</v>
      </c>
      <c r="O10" s="214">
        <f t="shared" si="1"/>
        <v>0.0018311999999696127</v>
      </c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</row>
    <row r="11" spans="1:43" s="219" customFormat="1" ht="18.75">
      <c r="A11" s="208">
        <v>6</v>
      </c>
      <c r="B11" s="209" t="s">
        <v>27</v>
      </c>
      <c r="C11" s="296">
        <v>4791</v>
      </c>
      <c r="D11" s="296">
        <v>1607</v>
      </c>
      <c r="E11" s="297">
        <v>144.12397</v>
      </c>
      <c r="F11" s="296">
        <v>30546</v>
      </c>
      <c r="G11" s="296">
        <v>5853</v>
      </c>
      <c r="H11" s="297">
        <f>529.69203+0.03+46.1</f>
        <v>575.82203</v>
      </c>
      <c r="I11" s="218"/>
      <c r="J11" s="218"/>
      <c r="K11" s="218"/>
      <c r="L11" s="211"/>
      <c r="M11" s="212">
        <f t="shared" si="0"/>
        <v>719.946</v>
      </c>
      <c r="N11" s="214">
        <f>'Part-II'!K15</f>
        <v>719.9489827</v>
      </c>
      <c r="O11" s="214">
        <f t="shared" si="1"/>
        <v>-0.002982699999961369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</row>
    <row r="12" spans="1:43" s="219" customFormat="1" ht="18.75">
      <c r="A12" s="208">
        <v>7</v>
      </c>
      <c r="B12" s="209" t="s">
        <v>125</v>
      </c>
      <c r="C12" s="221">
        <v>4563</v>
      </c>
      <c r="D12" s="221">
        <v>53</v>
      </c>
      <c r="E12" s="222">
        <v>41.0873</v>
      </c>
      <c r="F12" s="221">
        <v>36417</v>
      </c>
      <c r="G12" s="221">
        <v>4300</v>
      </c>
      <c r="H12" s="222">
        <f>419.27973+23.47</f>
        <v>442.74973</v>
      </c>
      <c r="I12" s="223"/>
      <c r="J12" s="223"/>
      <c r="K12" s="223"/>
      <c r="L12" s="211"/>
      <c r="M12" s="212">
        <f t="shared" si="0"/>
        <v>483.83703</v>
      </c>
      <c r="N12" s="214">
        <f>'Part-II'!K16</f>
        <v>483.8343152</v>
      </c>
      <c r="O12" s="214">
        <f t="shared" si="1"/>
        <v>0.0027148000000352113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</row>
    <row r="13" spans="1:43" s="219" customFormat="1" ht="18.75">
      <c r="A13" s="208">
        <v>8</v>
      </c>
      <c r="B13" s="209" t="s">
        <v>29</v>
      </c>
      <c r="C13" s="296">
        <v>2380</v>
      </c>
      <c r="D13" s="296">
        <v>11</v>
      </c>
      <c r="E13" s="297">
        <v>0</v>
      </c>
      <c r="F13" s="296">
        <v>32582</v>
      </c>
      <c r="G13" s="296">
        <v>1389</v>
      </c>
      <c r="H13" s="297">
        <f>339.89904+22.28-0.01</f>
        <v>362.16904</v>
      </c>
      <c r="I13" s="220"/>
      <c r="J13" s="220"/>
      <c r="K13" s="220"/>
      <c r="L13" s="211"/>
      <c r="M13" s="212">
        <f t="shared" si="0"/>
        <v>362.16904</v>
      </c>
      <c r="N13" s="214">
        <f>'Part-II'!K17</f>
        <v>362.1797351</v>
      </c>
      <c r="O13" s="214">
        <f t="shared" si="1"/>
        <v>-0.01069510000002083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</row>
    <row r="14" spans="1:43" s="219" customFormat="1" ht="18.75">
      <c r="A14" s="208">
        <v>9</v>
      </c>
      <c r="B14" s="209" t="s">
        <v>30</v>
      </c>
      <c r="C14" s="296">
        <v>0</v>
      </c>
      <c r="D14" s="296">
        <v>0</v>
      </c>
      <c r="E14" s="297">
        <v>0</v>
      </c>
      <c r="F14" s="296">
        <v>52395</v>
      </c>
      <c r="G14" s="296">
        <v>501</v>
      </c>
      <c r="H14" s="297">
        <f>294.77659+15+15.46</f>
        <v>325.23659</v>
      </c>
      <c r="I14" s="210"/>
      <c r="J14" s="210"/>
      <c r="K14" s="210"/>
      <c r="L14" s="211"/>
      <c r="M14" s="212">
        <f t="shared" si="0"/>
        <v>325.23659</v>
      </c>
      <c r="N14" s="214">
        <f>'Part-II'!K18</f>
        <v>325.2404174</v>
      </c>
      <c r="O14" s="214">
        <f t="shared" si="1"/>
        <v>-0.003827400000034231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</row>
    <row r="15" spans="1:43" s="219" customFormat="1" ht="18.75">
      <c r="A15" s="208">
        <v>10</v>
      </c>
      <c r="B15" s="209" t="s">
        <v>31</v>
      </c>
      <c r="C15" s="296">
        <v>7679</v>
      </c>
      <c r="D15" s="294">
        <v>57.42875000000001</v>
      </c>
      <c r="E15" s="297">
        <v>57.43</v>
      </c>
      <c r="F15" s="296">
        <v>48857</v>
      </c>
      <c r="G15" s="294"/>
      <c r="H15" s="297">
        <f>334.17255+24.98</f>
        <v>359.15255</v>
      </c>
      <c r="I15" s="218"/>
      <c r="J15" s="218"/>
      <c r="K15" s="218"/>
      <c r="L15" s="211"/>
      <c r="M15" s="212">
        <f>E15+H15</f>
        <v>416.58255</v>
      </c>
      <c r="N15" s="214">
        <f>'Part-II'!K19</f>
        <v>416.5792985</v>
      </c>
      <c r="O15" s="214">
        <f t="shared" si="1"/>
        <v>0.0032515000000330474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</row>
    <row r="16" spans="1:44" s="217" customFormat="1" ht="18.75">
      <c r="A16" s="208">
        <v>11</v>
      </c>
      <c r="B16" s="209" t="s">
        <v>32</v>
      </c>
      <c r="C16" s="296">
        <v>3061</v>
      </c>
      <c r="D16" s="296">
        <v>0</v>
      </c>
      <c r="E16" s="297">
        <v>35.11562</v>
      </c>
      <c r="F16" s="296">
        <v>28403</v>
      </c>
      <c r="G16" s="296">
        <v>0</v>
      </c>
      <c r="H16" s="297">
        <f>236.71118+14.79</f>
        <v>251.50118</v>
      </c>
      <c r="I16" s="220"/>
      <c r="J16" s="220"/>
      <c r="K16" s="220"/>
      <c r="L16" s="211"/>
      <c r="M16" s="212">
        <f t="shared" si="0"/>
        <v>286.6168</v>
      </c>
      <c r="N16" s="214">
        <f>'Part-II'!K20</f>
        <v>286.6171977</v>
      </c>
      <c r="O16" s="214">
        <f t="shared" si="1"/>
        <v>-0.0003977000000077169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</row>
    <row r="17" spans="1:43" s="219" customFormat="1" ht="18.75">
      <c r="A17" s="208">
        <v>12</v>
      </c>
      <c r="B17" s="209" t="s">
        <v>33</v>
      </c>
      <c r="C17" s="296">
        <v>2906</v>
      </c>
      <c r="D17" s="296">
        <v>0</v>
      </c>
      <c r="E17" s="319">
        <v>13.16804</v>
      </c>
      <c r="F17" s="296">
        <v>45947</v>
      </c>
      <c r="G17" s="296">
        <v>4733</v>
      </c>
      <c r="H17" s="297">
        <f>186.36428+13.39</f>
        <v>199.75428</v>
      </c>
      <c r="I17" s="210"/>
      <c r="J17" s="210"/>
      <c r="K17" s="210"/>
      <c r="L17" s="211"/>
      <c r="M17" s="212">
        <f t="shared" si="0"/>
        <v>212.92231999999998</v>
      </c>
      <c r="N17" s="214">
        <f>'Part-II'!K21</f>
        <v>212.9222801</v>
      </c>
      <c r="O17" s="214">
        <f t="shared" si="1"/>
        <v>3.9899999990211654E-05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</row>
    <row r="18" spans="1:43" s="219" customFormat="1" ht="18.75">
      <c r="A18" s="208">
        <v>13</v>
      </c>
      <c r="B18" s="209" t="s">
        <v>34</v>
      </c>
      <c r="C18" s="294">
        <v>2796</v>
      </c>
      <c r="D18" s="294">
        <v>0</v>
      </c>
      <c r="E18" s="297">
        <v>45.95335</v>
      </c>
      <c r="F18" s="294">
        <v>37143</v>
      </c>
      <c r="G18" s="294">
        <v>0</v>
      </c>
      <c r="H18" s="297">
        <f>479.76487+32.82</f>
        <v>512.58487</v>
      </c>
      <c r="I18" s="220"/>
      <c r="J18" s="220"/>
      <c r="K18" s="220"/>
      <c r="L18" s="211"/>
      <c r="M18" s="212">
        <f t="shared" si="0"/>
        <v>558.53822</v>
      </c>
      <c r="N18" s="214">
        <f>'Part-II'!K22</f>
        <v>558.5356708</v>
      </c>
      <c r="O18" s="214">
        <f t="shared" si="1"/>
        <v>0.0025491999999758264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</row>
    <row r="19" spans="1:43" s="219" customFormat="1" ht="18.75">
      <c r="A19" s="208"/>
      <c r="B19" s="209" t="s">
        <v>144</v>
      </c>
      <c r="C19" s="294"/>
      <c r="D19" s="294"/>
      <c r="E19" s="297">
        <f>24.64952+1.09+5</f>
        <v>30.73952</v>
      </c>
      <c r="F19" s="294"/>
      <c r="G19" s="294"/>
      <c r="H19" s="297">
        <f>32.42048+24.74+16.71</f>
        <v>73.87047999999999</v>
      </c>
      <c r="I19" s="220"/>
      <c r="J19" s="220"/>
      <c r="K19" s="220"/>
      <c r="L19" s="211"/>
      <c r="M19" s="212">
        <f t="shared" si="0"/>
        <v>104.60999999999999</v>
      </c>
      <c r="N19" s="214">
        <f>'Part-II'!K24</f>
        <v>104.61</v>
      </c>
      <c r="O19" s="214">
        <f t="shared" si="1"/>
        <v>0</v>
      </c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</row>
    <row r="20" spans="1:43" s="229" customFormat="1" ht="12.75" customHeight="1">
      <c r="A20" s="405" t="s">
        <v>5</v>
      </c>
      <c r="B20" s="405"/>
      <c r="C20" s="225">
        <f>SUM(C6:C18)</f>
        <v>84718</v>
      </c>
      <c r="D20" s="225">
        <f>SUM(D6:D18)</f>
        <v>2953.42875</v>
      </c>
      <c r="E20" s="226">
        <f>SUM(E6:E19)</f>
        <v>1550.0619100000001</v>
      </c>
      <c r="F20" s="225">
        <f>SUM(F6:F18)</f>
        <v>457211</v>
      </c>
      <c r="G20" s="225">
        <f>SUM(G6:G18)</f>
        <v>24443</v>
      </c>
      <c r="H20" s="226">
        <f>SUM(H6:H19)</f>
        <v>6162.480229999999</v>
      </c>
      <c r="I20" s="227"/>
      <c r="J20" s="227"/>
      <c r="K20" s="227"/>
      <c r="L20" s="227"/>
      <c r="M20" s="212">
        <f t="shared" si="0"/>
        <v>7712.54214</v>
      </c>
      <c r="N20" s="224">
        <f>SUM(N6:N19)</f>
        <v>7712.5451214999985</v>
      </c>
      <c r="O20" s="214">
        <f t="shared" si="1"/>
        <v>-0.0029814999988957425</v>
      </c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</row>
    <row r="21" ht="15">
      <c r="L21" s="195"/>
    </row>
    <row r="22" spans="3:11" ht="17.25" customHeight="1">
      <c r="C22" s="230"/>
      <c r="D22" s="230"/>
      <c r="E22" s="230"/>
      <c r="F22" s="230"/>
      <c r="G22" s="230"/>
      <c r="H22" s="230"/>
      <c r="I22" s="230"/>
      <c r="J22" s="230"/>
      <c r="K22" s="230"/>
    </row>
    <row r="24" ht="15">
      <c r="M24" s="314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2012-11-08T20:21:23Z</cp:lastPrinted>
  <dcterms:created xsi:type="dcterms:W3CDTF">2008-06-03T10:00:46Z</dcterms:created>
  <dcterms:modified xsi:type="dcterms:W3CDTF">2012-11-20T19:39:04Z</dcterms:modified>
  <cp:category/>
  <cp:version/>
  <cp:contentType/>
  <cp:contentStatus/>
</cp:coreProperties>
</file>